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m300\Dropbox\Tønsbergprosjektet\BIM-rådgivning TP 2015\TP-Grunnlagsdokumenter\"/>
    </mc:Choice>
  </mc:AlternateContent>
  <bookViews>
    <workbookView xWindow="2916" yWindow="936" windowWidth="25596" windowHeight="14244" tabRatio="500"/>
  </bookViews>
  <sheets>
    <sheet name="RLOM-NO" sheetId="1" r:id="rId1"/>
    <sheet name="Users" sheetId="2" r:id="rId2"/>
    <sheet name="Settings" sheetId="3" r:id="rId3"/>
    <sheet name="Ark 2" sheetId="4" r:id="rId4"/>
    <sheet name="RLOM-Build" sheetId="5" r:id="rId5"/>
    <sheet name="RLOM-HVAC-Plumb" sheetId="6" r:id="rId6"/>
    <sheet name="RLOM-Electro" sheetId="7" r:id="rId7"/>
    <sheet name="RLOM-OtherInst" sheetId="8" r:id="rId8"/>
    <sheet name="RLOM-Outdoor" sheetId="9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6" i="1" l="1"/>
  <c r="Z196" i="1"/>
  <c r="O34" i="6"/>
  <c r="P6" i="6"/>
  <c r="P4" i="6"/>
  <c r="C179" i="2"/>
  <c r="Z832" i="1"/>
  <c r="H832" i="1"/>
  <c r="Z831" i="1"/>
  <c r="H831" i="1"/>
  <c r="Z830" i="1"/>
  <c r="H830" i="1"/>
  <c r="Z829" i="1"/>
  <c r="H829" i="1"/>
  <c r="Z828" i="1"/>
  <c r="H828" i="1"/>
  <c r="Z827" i="1"/>
  <c r="H827" i="1"/>
  <c r="Z826" i="1"/>
  <c r="H826" i="1"/>
  <c r="Z825" i="1"/>
  <c r="H825" i="1"/>
  <c r="Z824" i="1"/>
  <c r="H824" i="1"/>
  <c r="Z823" i="1"/>
  <c r="H823" i="1"/>
  <c r="Z822" i="1"/>
  <c r="H822" i="1"/>
  <c r="Z821" i="1"/>
  <c r="H821" i="1"/>
  <c r="Z820" i="1"/>
  <c r="H820" i="1"/>
  <c r="Z819" i="1"/>
  <c r="H819" i="1"/>
  <c r="Z818" i="1"/>
  <c r="H818" i="1"/>
  <c r="Z817" i="1"/>
  <c r="H817" i="1"/>
  <c r="Z816" i="1"/>
  <c r="H816" i="1"/>
  <c r="Z815" i="1"/>
  <c r="H815" i="1"/>
  <c r="Z814" i="1"/>
  <c r="H814" i="1"/>
  <c r="Z813" i="1"/>
  <c r="H813" i="1"/>
  <c r="Z812" i="1"/>
  <c r="H812" i="1"/>
  <c r="Z811" i="1"/>
  <c r="H811" i="1"/>
  <c r="Z810" i="1"/>
  <c r="H810" i="1"/>
  <c r="Z809" i="1"/>
  <c r="H809" i="1"/>
  <c r="Z808" i="1"/>
  <c r="H808" i="1"/>
  <c r="Z807" i="1"/>
  <c r="H807" i="1"/>
  <c r="Z806" i="1"/>
  <c r="H806" i="1"/>
  <c r="Z805" i="1"/>
  <c r="H805" i="1"/>
  <c r="Z804" i="1"/>
  <c r="H804" i="1"/>
  <c r="Z803" i="1"/>
  <c r="H803" i="1"/>
  <c r="Z802" i="1"/>
  <c r="H802" i="1"/>
  <c r="Z801" i="1"/>
  <c r="H801" i="1"/>
  <c r="Z800" i="1"/>
  <c r="H800" i="1"/>
  <c r="Z799" i="1"/>
  <c r="H799" i="1"/>
  <c r="Z798" i="1"/>
  <c r="H798" i="1"/>
  <c r="Z797" i="1"/>
  <c r="H797" i="1"/>
  <c r="Z796" i="1"/>
  <c r="H796" i="1"/>
  <c r="Z795" i="1"/>
  <c r="H795" i="1"/>
  <c r="Z794" i="1"/>
  <c r="H794" i="1"/>
  <c r="Z793" i="1"/>
  <c r="H793" i="1"/>
  <c r="Z792" i="1"/>
  <c r="H792" i="1"/>
  <c r="Z791" i="1"/>
  <c r="H791" i="1"/>
  <c r="Z790" i="1"/>
  <c r="H790" i="1"/>
  <c r="Z789" i="1"/>
  <c r="H789" i="1"/>
  <c r="Z788" i="1"/>
  <c r="H788" i="1"/>
  <c r="Z787" i="1"/>
  <c r="H787" i="1"/>
  <c r="Z786" i="1"/>
  <c r="H786" i="1"/>
  <c r="Z785" i="1"/>
  <c r="H785" i="1"/>
  <c r="Z784" i="1"/>
  <c r="H784" i="1"/>
  <c r="Z783" i="1"/>
  <c r="H783" i="1"/>
  <c r="Z782" i="1"/>
  <c r="H782" i="1"/>
  <c r="Z781" i="1"/>
  <c r="H781" i="1"/>
  <c r="Z780" i="1"/>
  <c r="H780" i="1"/>
  <c r="Z195" i="1"/>
  <c r="H195" i="1"/>
  <c r="Z779" i="1"/>
  <c r="H779" i="1"/>
  <c r="Z778" i="1"/>
  <c r="H778" i="1"/>
  <c r="Z777" i="1"/>
  <c r="H777" i="1"/>
  <c r="Z776" i="1"/>
  <c r="H776" i="1"/>
  <c r="Z775" i="1"/>
  <c r="H775" i="1"/>
  <c r="Z774" i="1"/>
  <c r="H774" i="1"/>
  <c r="Z773" i="1"/>
  <c r="H773" i="1"/>
  <c r="Z772" i="1"/>
  <c r="H772" i="1"/>
  <c r="Z771" i="1"/>
  <c r="H771" i="1"/>
  <c r="Z770" i="1"/>
  <c r="H770" i="1"/>
  <c r="Z769" i="1"/>
  <c r="H769" i="1"/>
  <c r="Z768" i="1"/>
  <c r="H768" i="1"/>
  <c r="Z767" i="1"/>
  <c r="H767" i="1"/>
  <c r="Z766" i="1"/>
  <c r="H766" i="1"/>
  <c r="Z765" i="1"/>
  <c r="H765" i="1"/>
  <c r="Z764" i="1"/>
  <c r="H764" i="1"/>
  <c r="Z763" i="1"/>
  <c r="H763" i="1"/>
  <c r="Z762" i="1"/>
  <c r="H762" i="1"/>
  <c r="Z761" i="1"/>
  <c r="H761" i="1"/>
  <c r="Z760" i="1"/>
  <c r="H760" i="1"/>
  <c r="Z759" i="1"/>
  <c r="H759" i="1"/>
  <c r="Z758" i="1"/>
  <c r="H758" i="1"/>
  <c r="Z757" i="1"/>
  <c r="H757" i="1"/>
  <c r="Z756" i="1"/>
  <c r="H756" i="1"/>
  <c r="Z755" i="1"/>
  <c r="H755" i="1"/>
  <c r="Z754" i="1"/>
  <c r="H754" i="1"/>
  <c r="Z753" i="1"/>
  <c r="H753" i="1"/>
  <c r="Z752" i="1"/>
  <c r="H752" i="1"/>
  <c r="Z751" i="1"/>
  <c r="H751" i="1"/>
  <c r="Z750" i="1"/>
  <c r="H750" i="1"/>
  <c r="Z749" i="1"/>
  <c r="H749" i="1"/>
  <c r="Z748" i="1"/>
  <c r="H748" i="1"/>
  <c r="Z747" i="1"/>
  <c r="H747" i="1"/>
  <c r="Z746" i="1"/>
  <c r="H746" i="1"/>
  <c r="Z745" i="1"/>
  <c r="H745" i="1"/>
  <c r="Z744" i="1"/>
  <c r="H744" i="1"/>
  <c r="Z743" i="1"/>
  <c r="H743" i="1"/>
  <c r="Z742" i="1"/>
  <c r="H742" i="1"/>
  <c r="Z741" i="1"/>
  <c r="H741" i="1"/>
  <c r="Z740" i="1"/>
  <c r="H740" i="1"/>
  <c r="Z739" i="1"/>
  <c r="H739" i="1"/>
  <c r="Z738" i="1"/>
  <c r="H738" i="1"/>
  <c r="Z737" i="1"/>
  <c r="H737" i="1"/>
  <c r="Z736" i="1"/>
  <c r="H736" i="1"/>
  <c r="Z735" i="1"/>
  <c r="H735" i="1"/>
  <c r="Z734" i="1"/>
  <c r="H734" i="1"/>
  <c r="Z733" i="1"/>
  <c r="H733" i="1"/>
  <c r="Z732" i="1"/>
  <c r="H732" i="1"/>
  <c r="Z731" i="1"/>
  <c r="H731" i="1"/>
  <c r="Z730" i="1"/>
  <c r="H730" i="1"/>
  <c r="Z729" i="1"/>
  <c r="H729" i="1"/>
  <c r="Z728" i="1"/>
  <c r="H728" i="1"/>
  <c r="Z727" i="1"/>
  <c r="H727" i="1"/>
  <c r="Z726" i="1"/>
  <c r="H726" i="1"/>
  <c r="Z725" i="1"/>
  <c r="H725" i="1"/>
  <c r="Z724" i="1"/>
  <c r="H724" i="1"/>
  <c r="Z723" i="1"/>
  <c r="H723" i="1"/>
  <c r="Z722" i="1"/>
  <c r="H722" i="1"/>
  <c r="Z721" i="1"/>
  <c r="H721" i="1"/>
  <c r="Z720" i="1"/>
  <c r="H720" i="1"/>
  <c r="Z719" i="1"/>
  <c r="H719" i="1"/>
  <c r="Z718" i="1"/>
  <c r="H718" i="1"/>
  <c r="Z717" i="1"/>
  <c r="H717" i="1"/>
  <c r="Z716" i="1"/>
  <c r="H716" i="1"/>
  <c r="Z715" i="1"/>
  <c r="H715" i="1"/>
  <c r="Z714" i="1"/>
  <c r="H714" i="1"/>
  <c r="Z713" i="1"/>
  <c r="H713" i="1"/>
  <c r="Z712" i="1"/>
  <c r="H712" i="1"/>
  <c r="Z711" i="1"/>
  <c r="H711" i="1"/>
  <c r="Z710" i="1"/>
  <c r="H710" i="1"/>
  <c r="Z709" i="1"/>
  <c r="H709" i="1"/>
  <c r="Z708" i="1"/>
  <c r="H708" i="1"/>
  <c r="Z707" i="1"/>
  <c r="H707" i="1"/>
  <c r="Z706" i="1"/>
  <c r="H706" i="1"/>
  <c r="Z705" i="1"/>
  <c r="H705" i="1"/>
  <c r="Z704" i="1"/>
  <c r="H704" i="1"/>
  <c r="Z703" i="1"/>
  <c r="H703" i="1"/>
  <c r="Z702" i="1"/>
  <c r="H702" i="1"/>
  <c r="Z701" i="1"/>
  <c r="H701" i="1"/>
  <c r="Z700" i="1"/>
  <c r="H700" i="1"/>
  <c r="Z699" i="1"/>
  <c r="H699" i="1"/>
  <c r="Z698" i="1"/>
  <c r="H698" i="1"/>
  <c r="Z697" i="1"/>
  <c r="H697" i="1"/>
  <c r="Z696" i="1"/>
  <c r="H696" i="1"/>
  <c r="Z695" i="1"/>
  <c r="H695" i="1"/>
  <c r="Z694" i="1"/>
  <c r="H694" i="1"/>
  <c r="Z693" i="1"/>
  <c r="H693" i="1"/>
  <c r="Z692" i="1"/>
  <c r="H692" i="1"/>
  <c r="Z691" i="1"/>
  <c r="H691" i="1"/>
  <c r="Z690" i="1"/>
  <c r="H690" i="1"/>
  <c r="Z689" i="1"/>
  <c r="H689" i="1"/>
  <c r="Z688" i="1"/>
  <c r="H688" i="1"/>
  <c r="Z687" i="1"/>
  <c r="H687" i="1"/>
  <c r="Z686" i="1"/>
  <c r="H686" i="1"/>
  <c r="Z685" i="1"/>
  <c r="H685" i="1"/>
  <c r="Z684" i="1"/>
  <c r="H684" i="1"/>
  <c r="Z683" i="1"/>
  <c r="H683" i="1"/>
  <c r="Z682" i="1"/>
  <c r="H682" i="1"/>
  <c r="Z681" i="1"/>
  <c r="H681" i="1"/>
  <c r="Z680" i="1"/>
  <c r="H680" i="1"/>
  <c r="Z679" i="1"/>
  <c r="H679" i="1"/>
  <c r="Z678" i="1"/>
  <c r="H678" i="1"/>
  <c r="Z677" i="1"/>
  <c r="H677" i="1"/>
  <c r="Z676" i="1"/>
  <c r="H676" i="1"/>
  <c r="Z675" i="1"/>
  <c r="H675" i="1"/>
  <c r="Z674" i="1"/>
  <c r="H674" i="1"/>
  <c r="Z673" i="1"/>
  <c r="H673" i="1"/>
  <c r="Z672" i="1"/>
  <c r="H672" i="1"/>
  <c r="Z671" i="1"/>
  <c r="H671" i="1"/>
  <c r="Z670" i="1"/>
  <c r="H670" i="1"/>
  <c r="Z669" i="1"/>
  <c r="H669" i="1"/>
  <c r="Z668" i="1"/>
  <c r="H668" i="1"/>
  <c r="Z667" i="1"/>
  <c r="H667" i="1"/>
  <c r="Z666" i="1"/>
  <c r="H666" i="1"/>
  <c r="Z665" i="1"/>
  <c r="H665" i="1"/>
  <c r="Z664" i="1"/>
  <c r="H664" i="1"/>
  <c r="Z663" i="1"/>
  <c r="H663" i="1"/>
  <c r="Z662" i="1"/>
  <c r="H662" i="1"/>
  <c r="Z661" i="1"/>
  <c r="H661" i="1"/>
  <c r="Z660" i="1"/>
  <c r="H660" i="1"/>
  <c r="Z659" i="1"/>
  <c r="H659" i="1"/>
  <c r="Z658" i="1"/>
  <c r="H658" i="1"/>
  <c r="Z657" i="1"/>
  <c r="H657" i="1"/>
  <c r="Z656" i="1"/>
  <c r="H656" i="1"/>
  <c r="Z655" i="1"/>
  <c r="H655" i="1"/>
  <c r="Z654" i="1"/>
  <c r="H654" i="1"/>
  <c r="Z653" i="1"/>
  <c r="H653" i="1"/>
  <c r="Z652" i="1"/>
  <c r="H652" i="1"/>
  <c r="Z651" i="1"/>
  <c r="H651" i="1"/>
  <c r="Z650" i="1"/>
  <c r="H650" i="1"/>
  <c r="Z649" i="1"/>
  <c r="H649" i="1"/>
  <c r="Z648" i="1"/>
  <c r="H648" i="1"/>
  <c r="Z647" i="1"/>
  <c r="H647" i="1"/>
  <c r="Z646" i="1"/>
  <c r="H646" i="1"/>
  <c r="Z645" i="1"/>
  <c r="H645" i="1"/>
  <c r="Z644" i="1"/>
  <c r="H644" i="1"/>
  <c r="Z643" i="1"/>
  <c r="H643" i="1"/>
  <c r="Z642" i="1"/>
  <c r="H642" i="1"/>
  <c r="Z641" i="1"/>
  <c r="H641" i="1"/>
  <c r="Z640" i="1"/>
  <c r="H640" i="1"/>
  <c r="Z639" i="1"/>
  <c r="H639" i="1"/>
  <c r="Z638" i="1"/>
  <c r="H638" i="1"/>
  <c r="Z637" i="1"/>
  <c r="H637" i="1"/>
  <c r="Z636" i="1"/>
  <c r="H636" i="1"/>
  <c r="Z635" i="1"/>
  <c r="H635" i="1"/>
  <c r="Z634" i="1"/>
  <c r="H634" i="1"/>
  <c r="Z633" i="1"/>
  <c r="H633" i="1"/>
  <c r="Z632" i="1"/>
  <c r="H632" i="1"/>
  <c r="Z631" i="1"/>
  <c r="H631" i="1"/>
  <c r="Z630" i="1"/>
  <c r="H630" i="1"/>
  <c r="Z629" i="1"/>
  <c r="H629" i="1"/>
  <c r="Z628" i="1"/>
  <c r="H628" i="1"/>
  <c r="Z627" i="1"/>
  <c r="H627" i="1"/>
  <c r="Z626" i="1"/>
  <c r="H626" i="1"/>
  <c r="Z625" i="1"/>
  <c r="H625" i="1"/>
  <c r="Z624" i="1"/>
  <c r="H624" i="1"/>
  <c r="Z623" i="1"/>
  <c r="H623" i="1"/>
  <c r="Z622" i="1"/>
  <c r="H622" i="1"/>
  <c r="Z621" i="1"/>
  <c r="H621" i="1"/>
  <c r="Z620" i="1"/>
  <c r="H620" i="1"/>
  <c r="Z619" i="1"/>
  <c r="H619" i="1"/>
  <c r="Z618" i="1"/>
  <c r="H618" i="1"/>
  <c r="Z617" i="1"/>
  <c r="H617" i="1"/>
  <c r="Z616" i="1"/>
  <c r="H616" i="1"/>
  <c r="Z615" i="1"/>
  <c r="H615" i="1"/>
  <c r="Z614" i="1"/>
  <c r="H614" i="1"/>
  <c r="Z613" i="1"/>
  <c r="H613" i="1"/>
  <c r="Z612" i="1"/>
  <c r="H612" i="1"/>
  <c r="Z611" i="1"/>
  <c r="H611" i="1"/>
  <c r="Z610" i="1"/>
  <c r="H610" i="1"/>
  <c r="Z609" i="1"/>
  <c r="H609" i="1"/>
  <c r="Z608" i="1"/>
  <c r="H608" i="1"/>
  <c r="Z607" i="1"/>
  <c r="H607" i="1"/>
  <c r="Z606" i="1"/>
  <c r="H606" i="1"/>
  <c r="Z605" i="1"/>
  <c r="H605" i="1"/>
  <c r="Z604" i="1"/>
  <c r="H604" i="1"/>
  <c r="Z603" i="1"/>
  <c r="H603" i="1"/>
  <c r="Z602" i="1"/>
  <c r="H602" i="1"/>
  <c r="Z601" i="1"/>
  <c r="H601" i="1"/>
  <c r="Z600" i="1"/>
  <c r="H600" i="1"/>
  <c r="Z599" i="1"/>
  <c r="H599" i="1"/>
  <c r="Z598" i="1"/>
  <c r="H598" i="1"/>
  <c r="Z597" i="1"/>
  <c r="H597" i="1"/>
  <c r="Z596" i="1"/>
  <c r="H596" i="1"/>
  <c r="Z595" i="1"/>
  <c r="H595" i="1"/>
  <c r="Z594" i="1"/>
  <c r="H594" i="1"/>
  <c r="Z593" i="1"/>
  <c r="H593" i="1"/>
  <c r="Z592" i="1"/>
  <c r="H592" i="1"/>
  <c r="Z591" i="1"/>
  <c r="H591" i="1"/>
  <c r="Z590" i="1"/>
  <c r="H590" i="1"/>
  <c r="Z589" i="1"/>
  <c r="H589" i="1"/>
  <c r="Z588" i="1"/>
  <c r="H588" i="1"/>
  <c r="Z587" i="1"/>
  <c r="H587" i="1"/>
  <c r="Z586" i="1"/>
  <c r="H586" i="1"/>
  <c r="Z585" i="1"/>
  <c r="H585" i="1"/>
  <c r="Z584" i="1"/>
  <c r="H584" i="1"/>
  <c r="Z583" i="1"/>
  <c r="H583" i="1"/>
  <c r="Z582" i="1"/>
  <c r="H582" i="1"/>
  <c r="Z581" i="1"/>
  <c r="H581" i="1"/>
  <c r="Z580" i="1"/>
  <c r="H580" i="1"/>
  <c r="Z579" i="1"/>
  <c r="H579" i="1"/>
  <c r="Z578" i="1"/>
  <c r="H578" i="1"/>
  <c r="Z577" i="1"/>
  <c r="H577" i="1"/>
  <c r="Z576" i="1"/>
  <c r="H576" i="1"/>
  <c r="Z575" i="1"/>
  <c r="H575" i="1"/>
  <c r="Z574" i="1"/>
  <c r="H574" i="1"/>
  <c r="Z573" i="1"/>
  <c r="H573" i="1"/>
  <c r="Z572" i="1"/>
  <c r="H572" i="1"/>
  <c r="Z571" i="1"/>
  <c r="H571" i="1"/>
  <c r="Z570" i="1"/>
  <c r="H570" i="1"/>
  <c r="Z569" i="1"/>
  <c r="H569" i="1"/>
  <c r="Z568" i="1"/>
  <c r="H568" i="1"/>
  <c r="Z567" i="1"/>
  <c r="H567" i="1"/>
  <c r="Z566" i="1"/>
  <c r="H566" i="1"/>
  <c r="Z565" i="1"/>
  <c r="H565" i="1"/>
  <c r="Z564" i="1"/>
  <c r="H564" i="1"/>
  <c r="Z563" i="1"/>
  <c r="H563" i="1"/>
  <c r="Z562" i="1"/>
  <c r="H562" i="1"/>
  <c r="Z561" i="1"/>
  <c r="H561" i="1"/>
  <c r="Z560" i="1"/>
  <c r="H560" i="1"/>
  <c r="Z559" i="1"/>
  <c r="H559" i="1"/>
  <c r="Z558" i="1"/>
  <c r="H558" i="1"/>
  <c r="Z557" i="1"/>
  <c r="H557" i="1"/>
  <c r="Z556" i="1"/>
  <c r="H556" i="1"/>
  <c r="Z555" i="1"/>
  <c r="H555" i="1"/>
  <c r="Z554" i="1"/>
  <c r="H554" i="1"/>
  <c r="Z553" i="1"/>
  <c r="H553" i="1"/>
  <c r="Z552" i="1"/>
  <c r="H552" i="1"/>
  <c r="Z551" i="1"/>
  <c r="H551" i="1"/>
  <c r="Z550" i="1"/>
  <c r="H550" i="1"/>
  <c r="Z549" i="1"/>
  <c r="H549" i="1"/>
  <c r="Z548" i="1"/>
  <c r="H548" i="1"/>
  <c r="Z547" i="1"/>
  <c r="H547" i="1"/>
  <c r="Z546" i="1"/>
  <c r="H546" i="1"/>
  <c r="Z545" i="1"/>
  <c r="H545" i="1"/>
  <c r="Z544" i="1"/>
  <c r="H544" i="1"/>
  <c r="Z543" i="1"/>
  <c r="H543" i="1"/>
  <c r="Z542" i="1"/>
  <c r="H542" i="1"/>
  <c r="Z541" i="1"/>
  <c r="H541" i="1"/>
  <c r="Z540" i="1"/>
  <c r="H540" i="1"/>
  <c r="Z539" i="1"/>
  <c r="H539" i="1"/>
  <c r="Z538" i="1"/>
  <c r="H538" i="1"/>
  <c r="Z537" i="1"/>
  <c r="H537" i="1"/>
  <c r="Z536" i="1"/>
  <c r="H536" i="1"/>
  <c r="Z535" i="1"/>
  <c r="H535" i="1"/>
  <c r="Z534" i="1"/>
  <c r="H534" i="1"/>
  <c r="Z533" i="1"/>
  <c r="H533" i="1"/>
  <c r="Z532" i="1"/>
  <c r="H532" i="1"/>
  <c r="Z531" i="1"/>
  <c r="H531" i="1"/>
  <c r="Z530" i="1"/>
  <c r="H530" i="1"/>
  <c r="Z529" i="1"/>
  <c r="H529" i="1"/>
  <c r="Z528" i="1"/>
  <c r="H528" i="1"/>
  <c r="Z527" i="1"/>
  <c r="H527" i="1"/>
  <c r="Z526" i="1"/>
  <c r="H526" i="1"/>
  <c r="Z525" i="1"/>
  <c r="H525" i="1"/>
  <c r="Z524" i="1"/>
  <c r="H524" i="1"/>
  <c r="Z523" i="1"/>
  <c r="H523" i="1"/>
  <c r="Z522" i="1"/>
  <c r="H522" i="1"/>
  <c r="Z521" i="1"/>
  <c r="H521" i="1"/>
  <c r="Z520" i="1"/>
  <c r="H520" i="1"/>
  <c r="Z519" i="1"/>
  <c r="H519" i="1"/>
  <c r="Z518" i="1"/>
  <c r="H518" i="1"/>
  <c r="Z517" i="1"/>
  <c r="H517" i="1"/>
  <c r="Z516" i="1"/>
  <c r="H516" i="1"/>
  <c r="Z515" i="1"/>
  <c r="H515" i="1"/>
  <c r="Z514" i="1"/>
  <c r="H514" i="1"/>
  <c r="Z513" i="1"/>
  <c r="H513" i="1"/>
  <c r="Z512" i="1"/>
  <c r="H512" i="1"/>
  <c r="Z511" i="1"/>
  <c r="H511" i="1"/>
  <c r="Z510" i="1"/>
  <c r="H510" i="1"/>
  <c r="Z509" i="1"/>
  <c r="H509" i="1"/>
  <c r="Z508" i="1"/>
  <c r="H508" i="1"/>
  <c r="Z507" i="1"/>
  <c r="H507" i="1"/>
  <c r="Z506" i="1"/>
  <c r="H506" i="1"/>
  <c r="Z505" i="1"/>
  <c r="H505" i="1"/>
  <c r="Z504" i="1"/>
  <c r="H504" i="1"/>
  <c r="Z503" i="1"/>
  <c r="H503" i="1"/>
  <c r="Z502" i="1"/>
  <c r="H502" i="1"/>
  <c r="Z501" i="1"/>
  <c r="H501" i="1"/>
  <c r="Z500" i="1"/>
  <c r="H500" i="1"/>
  <c r="Z499" i="1"/>
  <c r="H499" i="1"/>
  <c r="Z498" i="1"/>
  <c r="H498" i="1"/>
  <c r="Z497" i="1"/>
  <c r="H497" i="1"/>
  <c r="Z496" i="1"/>
  <c r="H496" i="1"/>
  <c r="Z495" i="1"/>
  <c r="H495" i="1"/>
  <c r="Z494" i="1"/>
  <c r="H494" i="1"/>
  <c r="Z493" i="1"/>
  <c r="H493" i="1"/>
  <c r="Z492" i="1"/>
  <c r="H492" i="1"/>
  <c r="Z491" i="1"/>
  <c r="H491" i="1"/>
  <c r="Z490" i="1"/>
  <c r="H490" i="1"/>
  <c r="Z489" i="1"/>
  <c r="H489" i="1"/>
  <c r="Z488" i="1"/>
  <c r="H488" i="1"/>
  <c r="Z487" i="1"/>
  <c r="H487" i="1"/>
  <c r="Z486" i="1"/>
  <c r="H486" i="1"/>
  <c r="Z485" i="1"/>
  <c r="H485" i="1"/>
  <c r="Z484" i="1"/>
  <c r="H484" i="1"/>
  <c r="Z483" i="1"/>
  <c r="H483" i="1"/>
  <c r="Z482" i="1"/>
  <c r="H482" i="1"/>
  <c r="Z481" i="1"/>
  <c r="H481" i="1"/>
  <c r="Z480" i="1"/>
  <c r="H480" i="1"/>
  <c r="Z479" i="1"/>
  <c r="H479" i="1"/>
  <c r="Z478" i="1"/>
  <c r="H478" i="1"/>
  <c r="Z477" i="1"/>
  <c r="H477" i="1"/>
  <c r="Z476" i="1"/>
  <c r="H476" i="1"/>
  <c r="Z475" i="1"/>
  <c r="H475" i="1"/>
  <c r="Z474" i="1"/>
  <c r="H474" i="1"/>
  <c r="Z473" i="1"/>
  <c r="H473" i="1"/>
  <c r="Z472" i="1"/>
  <c r="H472" i="1"/>
  <c r="Z471" i="1"/>
  <c r="H471" i="1"/>
  <c r="Z470" i="1"/>
  <c r="H470" i="1"/>
  <c r="Z469" i="1"/>
  <c r="H469" i="1"/>
  <c r="Z468" i="1"/>
  <c r="H468" i="1"/>
  <c r="Z467" i="1"/>
  <c r="H467" i="1"/>
  <c r="Z466" i="1"/>
  <c r="H466" i="1"/>
  <c r="Z465" i="1"/>
  <c r="H465" i="1"/>
  <c r="Z464" i="1"/>
  <c r="H464" i="1"/>
  <c r="Z463" i="1"/>
  <c r="H463" i="1"/>
  <c r="Z462" i="1"/>
  <c r="H462" i="1"/>
  <c r="Z461" i="1"/>
  <c r="H461" i="1"/>
  <c r="Z460" i="1"/>
  <c r="H460" i="1"/>
  <c r="Z459" i="1"/>
  <c r="H459" i="1"/>
  <c r="Z458" i="1"/>
  <c r="H458" i="1"/>
  <c r="Z457" i="1"/>
  <c r="H457" i="1"/>
  <c r="Z456" i="1"/>
  <c r="H456" i="1"/>
  <c r="Z455" i="1"/>
  <c r="H455" i="1"/>
  <c r="Z454" i="1"/>
  <c r="H454" i="1"/>
  <c r="Z453" i="1"/>
  <c r="H453" i="1"/>
  <c r="Z452" i="1"/>
  <c r="H452" i="1"/>
  <c r="Z451" i="1"/>
  <c r="H451" i="1"/>
  <c r="Z450" i="1"/>
  <c r="H450" i="1"/>
  <c r="Z449" i="1"/>
  <c r="H449" i="1"/>
  <c r="Z448" i="1"/>
  <c r="H448" i="1"/>
  <c r="Z447" i="1"/>
  <c r="H447" i="1"/>
  <c r="Z446" i="1"/>
  <c r="H446" i="1"/>
  <c r="Z445" i="1"/>
  <c r="H445" i="1"/>
  <c r="Z444" i="1"/>
  <c r="H444" i="1"/>
  <c r="Z443" i="1"/>
  <c r="H443" i="1"/>
  <c r="Z442" i="1"/>
  <c r="H442" i="1"/>
  <c r="Z441" i="1"/>
  <c r="H441" i="1"/>
  <c r="Z440" i="1"/>
  <c r="H440" i="1"/>
  <c r="Z439" i="1"/>
  <c r="H439" i="1"/>
  <c r="Z438" i="1"/>
  <c r="H438" i="1"/>
  <c r="Z437" i="1"/>
  <c r="H437" i="1"/>
  <c r="Z436" i="1"/>
  <c r="H436" i="1"/>
  <c r="Z435" i="1"/>
  <c r="H435" i="1"/>
  <c r="Z434" i="1"/>
  <c r="H434" i="1"/>
  <c r="Z433" i="1"/>
  <c r="H433" i="1"/>
  <c r="Z432" i="1"/>
  <c r="H432" i="1"/>
  <c r="Z431" i="1"/>
  <c r="H431" i="1"/>
  <c r="Z430" i="1"/>
  <c r="H430" i="1"/>
  <c r="Z429" i="1"/>
  <c r="H429" i="1"/>
  <c r="Z428" i="1"/>
  <c r="H428" i="1"/>
  <c r="Z427" i="1"/>
  <c r="H427" i="1"/>
  <c r="Z426" i="1"/>
  <c r="H426" i="1"/>
  <c r="Z425" i="1"/>
  <c r="H425" i="1"/>
  <c r="Z424" i="1"/>
  <c r="H424" i="1"/>
  <c r="Z423" i="1"/>
  <c r="H423" i="1"/>
  <c r="Z422" i="1"/>
  <c r="H422" i="1"/>
  <c r="Z421" i="1"/>
  <c r="H421" i="1"/>
  <c r="Z420" i="1"/>
  <c r="H420" i="1"/>
  <c r="Z419" i="1"/>
  <c r="H419" i="1"/>
  <c r="Z418" i="1"/>
  <c r="H418" i="1"/>
  <c r="Z417" i="1"/>
  <c r="H417" i="1"/>
  <c r="Z416" i="1"/>
  <c r="H416" i="1"/>
  <c r="Z415" i="1"/>
  <c r="H415" i="1"/>
  <c r="Z414" i="1"/>
  <c r="H414" i="1"/>
  <c r="Z413" i="1"/>
  <c r="H413" i="1"/>
  <c r="Z412" i="1"/>
  <c r="H412" i="1"/>
  <c r="Z411" i="1"/>
  <c r="H411" i="1"/>
  <c r="Z410" i="1"/>
  <c r="H410" i="1"/>
  <c r="Z409" i="1"/>
  <c r="H409" i="1"/>
  <c r="Z408" i="1"/>
  <c r="H408" i="1"/>
  <c r="Z407" i="1"/>
  <c r="H407" i="1"/>
  <c r="Z406" i="1"/>
  <c r="H406" i="1"/>
  <c r="Z405" i="1"/>
  <c r="H405" i="1"/>
  <c r="Z404" i="1"/>
  <c r="H404" i="1"/>
  <c r="Z403" i="1"/>
  <c r="H403" i="1"/>
  <c r="Z402" i="1"/>
  <c r="H402" i="1"/>
  <c r="Z401" i="1"/>
  <c r="H401" i="1"/>
  <c r="Z400" i="1"/>
  <c r="H400" i="1"/>
  <c r="Z399" i="1"/>
  <c r="H399" i="1"/>
  <c r="Z398" i="1"/>
  <c r="H398" i="1"/>
  <c r="Z397" i="1"/>
  <c r="H397" i="1"/>
  <c r="Z396" i="1"/>
  <c r="H396" i="1"/>
  <c r="Z395" i="1"/>
  <c r="H395" i="1"/>
  <c r="Z394" i="1"/>
  <c r="H394" i="1"/>
  <c r="Z393" i="1"/>
  <c r="H393" i="1"/>
  <c r="Z392" i="1"/>
  <c r="H392" i="1"/>
  <c r="Z391" i="1"/>
  <c r="H391" i="1"/>
  <c r="Z390" i="1"/>
  <c r="H390" i="1"/>
  <c r="Z389" i="1"/>
  <c r="H389" i="1"/>
  <c r="Z388" i="1"/>
  <c r="H388" i="1"/>
  <c r="Z387" i="1"/>
  <c r="H387" i="1"/>
  <c r="Z386" i="1"/>
  <c r="H386" i="1"/>
  <c r="Z385" i="1"/>
  <c r="H385" i="1"/>
  <c r="Z384" i="1"/>
  <c r="H384" i="1"/>
  <c r="Z383" i="1"/>
  <c r="H383" i="1"/>
  <c r="Z382" i="1"/>
  <c r="H382" i="1"/>
  <c r="Z381" i="1"/>
  <c r="H381" i="1"/>
  <c r="Z380" i="1"/>
  <c r="H380" i="1"/>
  <c r="Z379" i="1"/>
  <c r="H379" i="1"/>
  <c r="Z378" i="1"/>
  <c r="H378" i="1"/>
  <c r="Z377" i="1"/>
  <c r="H377" i="1"/>
  <c r="Z376" i="1"/>
  <c r="H376" i="1"/>
  <c r="Z375" i="1"/>
  <c r="H375" i="1"/>
  <c r="Z374" i="1"/>
  <c r="H374" i="1"/>
  <c r="Z373" i="1"/>
  <c r="H373" i="1"/>
  <c r="Z372" i="1"/>
  <c r="H372" i="1"/>
  <c r="Z371" i="1"/>
  <c r="H371" i="1"/>
  <c r="Z370" i="1"/>
  <c r="H370" i="1"/>
  <c r="Z369" i="1"/>
  <c r="H369" i="1"/>
  <c r="Z368" i="1"/>
  <c r="H368" i="1"/>
  <c r="Z367" i="1"/>
  <c r="H367" i="1"/>
  <c r="Z366" i="1"/>
  <c r="H366" i="1"/>
  <c r="Z365" i="1"/>
  <c r="H365" i="1"/>
  <c r="Z364" i="1"/>
  <c r="H364" i="1"/>
  <c r="Z363" i="1"/>
  <c r="H363" i="1"/>
  <c r="Z362" i="1"/>
  <c r="H362" i="1"/>
  <c r="Z361" i="1"/>
  <c r="H361" i="1"/>
  <c r="Z360" i="1"/>
  <c r="H360" i="1"/>
  <c r="Z359" i="1"/>
  <c r="H359" i="1"/>
  <c r="Z358" i="1"/>
  <c r="H358" i="1"/>
  <c r="Z357" i="1"/>
  <c r="H357" i="1"/>
  <c r="Z356" i="1"/>
  <c r="H356" i="1"/>
  <c r="Z355" i="1"/>
  <c r="H355" i="1"/>
  <c r="Z354" i="1"/>
  <c r="H354" i="1"/>
  <c r="Z353" i="1"/>
  <c r="H353" i="1"/>
  <c r="Z352" i="1"/>
  <c r="H352" i="1"/>
  <c r="Z351" i="1"/>
  <c r="H351" i="1"/>
  <c r="Z350" i="1"/>
  <c r="H350" i="1"/>
  <c r="Z349" i="1"/>
  <c r="H349" i="1"/>
  <c r="Z348" i="1"/>
  <c r="H348" i="1"/>
  <c r="Z347" i="1"/>
  <c r="H347" i="1"/>
  <c r="Z346" i="1"/>
  <c r="H346" i="1"/>
  <c r="Z345" i="1"/>
  <c r="H345" i="1"/>
  <c r="Z344" i="1"/>
  <c r="H344" i="1"/>
  <c r="Z343" i="1"/>
  <c r="H343" i="1"/>
  <c r="Z342" i="1"/>
  <c r="H342" i="1"/>
  <c r="Z341" i="1"/>
  <c r="H341" i="1"/>
  <c r="Z340" i="1"/>
  <c r="H340" i="1"/>
  <c r="Z339" i="1"/>
  <c r="H339" i="1"/>
  <c r="Z338" i="1"/>
  <c r="H338" i="1"/>
  <c r="Z337" i="1"/>
  <c r="H337" i="1"/>
  <c r="Z336" i="1"/>
  <c r="H336" i="1"/>
  <c r="Z335" i="1"/>
  <c r="H335" i="1"/>
  <c r="Z334" i="1"/>
  <c r="H334" i="1"/>
  <c r="Z333" i="1"/>
  <c r="H333" i="1"/>
  <c r="Z332" i="1"/>
  <c r="H332" i="1"/>
  <c r="Z331" i="1"/>
  <c r="H331" i="1"/>
  <c r="Z330" i="1"/>
  <c r="H330" i="1"/>
  <c r="Z329" i="1"/>
  <c r="H329" i="1"/>
  <c r="Z328" i="1"/>
  <c r="H328" i="1"/>
  <c r="Z327" i="1"/>
  <c r="H327" i="1"/>
  <c r="Z326" i="1"/>
  <c r="H326" i="1"/>
  <c r="Z325" i="1"/>
  <c r="H325" i="1"/>
  <c r="Z324" i="1"/>
  <c r="H324" i="1"/>
  <c r="Z323" i="1"/>
  <c r="H323" i="1"/>
  <c r="Z322" i="1"/>
  <c r="H322" i="1"/>
  <c r="Z321" i="1"/>
  <c r="H321" i="1"/>
  <c r="Z320" i="1"/>
  <c r="H320" i="1"/>
  <c r="Z319" i="1"/>
  <c r="H319" i="1"/>
  <c r="Z318" i="1"/>
  <c r="H318" i="1"/>
  <c r="Z317" i="1"/>
  <c r="H317" i="1"/>
  <c r="Z316" i="1"/>
  <c r="H316" i="1"/>
  <c r="Z315" i="1"/>
  <c r="H315" i="1"/>
  <c r="Z314" i="1"/>
  <c r="H314" i="1"/>
  <c r="Z313" i="1"/>
  <c r="H313" i="1"/>
  <c r="Z312" i="1"/>
  <c r="H312" i="1"/>
  <c r="Z311" i="1"/>
  <c r="H311" i="1"/>
  <c r="Z310" i="1"/>
  <c r="H310" i="1"/>
  <c r="Z309" i="1"/>
  <c r="H309" i="1"/>
  <c r="Z308" i="1"/>
  <c r="H308" i="1"/>
  <c r="Z307" i="1"/>
  <c r="H307" i="1"/>
  <c r="Z306" i="1"/>
  <c r="H306" i="1"/>
  <c r="Z305" i="1"/>
  <c r="H305" i="1"/>
  <c r="Z304" i="1"/>
  <c r="H304" i="1"/>
  <c r="Z303" i="1"/>
  <c r="H303" i="1"/>
  <c r="Z302" i="1"/>
  <c r="H302" i="1"/>
  <c r="Z301" i="1"/>
  <c r="H301" i="1"/>
  <c r="Z300" i="1"/>
  <c r="H300" i="1"/>
  <c r="Z299" i="1"/>
  <c r="H299" i="1"/>
  <c r="Z298" i="1"/>
  <c r="H298" i="1"/>
  <c r="Z297" i="1"/>
  <c r="H297" i="1"/>
  <c r="Z296" i="1"/>
  <c r="H296" i="1"/>
  <c r="Z295" i="1"/>
  <c r="H295" i="1"/>
  <c r="Z294" i="1"/>
  <c r="H294" i="1"/>
  <c r="Z293" i="1"/>
  <c r="H293" i="1"/>
  <c r="Z292" i="1"/>
  <c r="H292" i="1"/>
  <c r="Z291" i="1"/>
  <c r="H291" i="1"/>
  <c r="Z290" i="1"/>
  <c r="H290" i="1"/>
  <c r="Z289" i="1"/>
  <c r="H289" i="1"/>
  <c r="Z288" i="1"/>
  <c r="H288" i="1"/>
  <c r="Z287" i="1"/>
  <c r="H287" i="1"/>
  <c r="Z286" i="1"/>
  <c r="H286" i="1"/>
  <c r="Z285" i="1"/>
  <c r="H285" i="1"/>
  <c r="Z284" i="1"/>
  <c r="H284" i="1"/>
  <c r="Z283" i="1"/>
  <c r="H283" i="1"/>
  <c r="Z282" i="1"/>
  <c r="H282" i="1"/>
  <c r="Z281" i="1"/>
  <c r="H281" i="1"/>
  <c r="Z280" i="1"/>
  <c r="H280" i="1"/>
  <c r="Z279" i="1"/>
  <c r="H279" i="1"/>
  <c r="Z278" i="1"/>
  <c r="H278" i="1"/>
  <c r="Z277" i="1"/>
  <c r="H277" i="1"/>
  <c r="Z276" i="1"/>
  <c r="H276" i="1"/>
  <c r="Z275" i="1"/>
  <c r="H275" i="1"/>
  <c r="Z274" i="1"/>
  <c r="H274" i="1"/>
  <c r="Z273" i="1"/>
  <c r="H273" i="1"/>
  <c r="Z272" i="1"/>
  <c r="H272" i="1"/>
  <c r="Z271" i="1"/>
  <c r="H271" i="1"/>
  <c r="Z270" i="1"/>
  <c r="H270" i="1"/>
  <c r="Z269" i="1"/>
  <c r="H269" i="1"/>
  <c r="Z268" i="1"/>
  <c r="H268" i="1"/>
  <c r="Z267" i="1"/>
  <c r="H267" i="1"/>
  <c r="Z266" i="1"/>
  <c r="H266" i="1"/>
  <c r="Z265" i="1"/>
  <c r="H265" i="1"/>
  <c r="Z264" i="1"/>
  <c r="H264" i="1"/>
  <c r="Z263" i="1"/>
  <c r="H263" i="1"/>
  <c r="Z262" i="1"/>
  <c r="H262" i="1"/>
  <c r="Z261" i="1"/>
  <c r="H261" i="1"/>
  <c r="Z260" i="1"/>
  <c r="H260" i="1"/>
  <c r="Z259" i="1"/>
  <c r="H259" i="1"/>
  <c r="Z258" i="1"/>
  <c r="H258" i="1"/>
  <c r="Z257" i="1"/>
  <c r="H257" i="1"/>
  <c r="Z256" i="1"/>
  <c r="H256" i="1"/>
  <c r="Z255" i="1"/>
  <c r="H255" i="1"/>
  <c r="Z254" i="1"/>
  <c r="H254" i="1"/>
  <c r="Z253" i="1"/>
  <c r="H253" i="1"/>
  <c r="Z252" i="1"/>
  <c r="H252" i="1"/>
  <c r="Z251" i="1"/>
  <c r="H251" i="1"/>
  <c r="Z250" i="1"/>
  <c r="H250" i="1"/>
  <c r="Z249" i="1"/>
  <c r="H249" i="1"/>
  <c r="Z248" i="1"/>
  <c r="H248" i="1"/>
  <c r="Z247" i="1"/>
  <c r="H247" i="1"/>
  <c r="Z246" i="1"/>
  <c r="H246" i="1"/>
  <c r="Z245" i="1"/>
  <c r="H245" i="1"/>
  <c r="Z244" i="1"/>
  <c r="H244" i="1"/>
  <c r="Z243" i="1"/>
  <c r="H243" i="1"/>
  <c r="Z242" i="1"/>
  <c r="H242" i="1"/>
  <c r="Z241" i="1"/>
  <c r="H241" i="1"/>
  <c r="Z240" i="1"/>
  <c r="H240" i="1"/>
  <c r="Z239" i="1"/>
  <c r="H239" i="1"/>
  <c r="Z238" i="1"/>
  <c r="H238" i="1"/>
  <c r="Z237" i="1"/>
  <c r="H237" i="1"/>
  <c r="Z236" i="1"/>
  <c r="H236" i="1"/>
  <c r="Z235" i="1"/>
  <c r="H235" i="1"/>
  <c r="Z234" i="1"/>
  <c r="H234" i="1"/>
  <c r="Z233" i="1"/>
  <c r="H233" i="1"/>
  <c r="Z232" i="1"/>
  <c r="H232" i="1"/>
  <c r="Z231" i="1"/>
  <c r="H231" i="1"/>
  <c r="Z230" i="1"/>
  <c r="H230" i="1"/>
  <c r="Z229" i="1"/>
  <c r="H229" i="1"/>
  <c r="Z228" i="1"/>
  <c r="H228" i="1"/>
  <c r="Z227" i="1"/>
  <c r="H227" i="1"/>
  <c r="Z226" i="1"/>
  <c r="H226" i="1"/>
  <c r="Z225" i="1"/>
  <c r="H225" i="1"/>
  <c r="Z224" i="1"/>
  <c r="H224" i="1"/>
  <c r="Z223" i="1"/>
  <c r="H223" i="1"/>
  <c r="Z222" i="1"/>
  <c r="H222" i="1"/>
  <c r="Z221" i="1"/>
  <c r="H221" i="1"/>
  <c r="Z220" i="1"/>
  <c r="H220" i="1"/>
  <c r="Z219" i="1"/>
  <c r="H219" i="1"/>
  <c r="Z218" i="1"/>
  <c r="H218" i="1"/>
  <c r="Z217" i="1"/>
  <c r="H217" i="1"/>
  <c r="Z216" i="1"/>
  <c r="H216" i="1"/>
  <c r="Z215" i="1"/>
  <c r="H215" i="1"/>
  <c r="Z214" i="1"/>
  <c r="H214" i="1"/>
  <c r="Z213" i="1"/>
  <c r="H213" i="1"/>
  <c r="Z212" i="1"/>
  <c r="H212" i="1"/>
  <c r="Z211" i="1"/>
  <c r="H211" i="1"/>
  <c r="Z210" i="1"/>
  <c r="H210" i="1"/>
  <c r="Z209" i="1"/>
  <c r="H209" i="1"/>
  <c r="Z208" i="1"/>
  <c r="H208" i="1"/>
  <c r="Z207" i="1"/>
  <c r="H207" i="1"/>
  <c r="Z206" i="1"/>
  <c r="H206" i="1"/>
  <c r="Z205" i="1"/>
  <c r="H205" i="1"/>
  <c r="Z204" i="1"/>
  <c r="H204" i="1"/>
  <c r="Z203" i="1"/>
  <c r="H203" i="1"/>
  <c r="Z202" i="1"/>
  <c r="H202" i="1"/>
  <c r="Z201" i="1"/>
  <c r="H201" i="1"/>
  <c r="Z200" i="1"/>
  <c r="H200" i="1"/>
  <c r="Z199" i="1"/>
  <c r="H199" i="1"/>
  <c r="Z198" i="1"/>
  <c r="H198" i="1"/>
  <c r="Z197" i="1"/>
  <c r="H197" i="1"/>
  <c r="Z194" i="1"/>
  <c r="H194" i="1"/>
  <c r="Z193" i="1"/>
  <c r="H193" i="1"/>
  <c r="Z192" i="1"/>
  <c r="H192" i="1"/>
  <c r="Z191" i="1"/>
  <c r="H191" i="1"/>
  <c r="Z190" i="1"/>
  <c r="H190" i="1"/>
  <c r="Z189" i="1"/>
  <c r="H189" i="1"/>
  <c r="Z188" i="1"/>
  <c r="H188" i="1"/>
  <c r="Z187" i="1"/>
  <c r="H187" i="1"/>
  <c r="Z186" i="1"/>
  <c r="H186" i="1"/>
  <c r="Z185" i="1"/>
  <c r="H185" i="1"/>
  <c r="Z184" i="1"/>
  <c r="H184" i="1"/>
  <c r="Z183" i="1"/>
  <c r="H183" i="1"/>
  <c r="Z182" i="1"/>
  <c r="H182" i="1"/>
  <c r="Z181" i="1"/>
  <c r="H181" i="1"/>
  <c r="Z180" i="1"/>
  <c r="H180" i="1"/>
  <c r="Z179" i="1"/>
  <c r="H179" i="1"/>
  <c r="Z178" i="1"/>
  <c r="H178" i="1"/>
  <c r="Q177" i="1"/>
  <c r="Z177" i="1" s="1"/>
  <c r="H177" i="1"/>
  <c r="Z176" i="1"/>
  <c r="H176" i="1"/>
  <c r="Z175" i="1"/>
  <c r="H175" i="1"/>
  <c r="Z174" i="1"/>
  <c r="H174" i="1"/>
  <c r="Z173" i="1"/>
  <c r="H173" i="1"/>
  <c r="Z172" i="1"/>
  <c r="H172" i="1"/>
  <c r="Z171" i="1"/>
  <c r="H171" i="1"/>
  <c r="Z170" i="1"/>
  <c r="H170" i="1"/>
  <c r="Z169" i="1"/>
  <c r="H169" i="1"/>
  <c r="Z168" i="1"/>
  <c r="H168" i="1"/>
  <c r="Z167" i="1"/>
  <c r="H167" i="1"/>
  <c r="Z166" i="1"/>
  <c r="H166" i="1"/>
  <c r="Z165" i="1"/>
  <c r="H165" i="1"/>
  <c r="Z164" i="1"/>
  <c r="H164" i="1"/>
  <c r="Z163" i="1"/>
  <c r="H163" i="1"/>
  <c r="Z162" i="1"/>
  <c r="H162" i="1"/>
  <c r="Z161" i="1"/>
  <c r="H161" i="1"/>
  <c r="Z160" i="1"/>
  <c r="H160" i="1"/>
  <c r="Z159" i="1"/>
  <c r="H159" i="1"/>
  <c r="Z158" i="1"/>
  <c r="H158" i="1"/>
  <c r="Z157" i="1"/>
  <c r="H157" i="1"/>
  <c r="Z156" i="1"/>
  <c r="H156" i="1"/>
  <c r="Z155" i="1"/>
  <c r="H155" i="1"/>
  <c r="Z154" i="1"/>
  <c r="H154" i="1"/>
  <c r="Z153" i="1"/>
  <c r="H153" i="1"/>
  <c r="Z152" i="1"/>
  <c r="H152" i="1"/>
  <c r="Z151" i="1"/>
  <c r="H151" i="1"/>
  <c r="Z150" i="1"/>
  <c r="H150" i="1"/>
  <c r="Z149" i="1"/>
  <c r="R149" i="1"/>
  <c r="H149" i="1"/>
  <c r="Z148" i="1"/>
  <c r="H148" i="1"/>
  <c r="Z147" i="1"/>
  <c r="R147" i="1"/>
  <c r="H147" i="1"/>
  <c r="Z146" i="1"/>
  <c r="H146" i="1"/>
  <c r="Z145" i="1"/>
  <c r="H145" i="1"/>
  <c r="Z144" i="1"/>
  <c r="H144" i="1"/>
  <c r="Z143" i="1"/>
  <c r="H143" i="1"/>
  <c r="Z142" i="1"/>
  <c r="H142" i="1"/>
  <c r="Z141" i="1"/>
  <c r="H141" i="1"/>
  <c r="Z140" i="1"/>
  <c r="H140" i="1"/>
  <c r="Z139" i="1"/>
  <c r="H139" i="1"/>
  <c r="Z138" i="1"/>
  <c r="H138" i="1"/>
  <c r="Z137" i="1"/>
  <c r="H137" i="1"/>
  <c r="Z136" i="1"/>
  <c r="H136" i="1"/>
  <c r="Z135" i="1"/>
  <c r="H135" i="1"/>
  <c r="Z134" i="1"/>
  <c r="H134" i="1"/>
  <c r="Z133" i="1"/>
  <c r="H133" i="1"/>
  <c r="Z132" i="1"/>
  <c r="H132" i="1"/>
  <c r="Z131" i="1"/>
  <c r="H131" i="1"/>
  <c r="Z130" i="1"/>
  <c r="H130" i="1"/>
  <c r="Z129" i="1"/>
  <c r="H129" i="1"/>
  <c r="Z128" i="1"/>
  <c r="H128" i="1"/>
  <c r="Z127" i="1"/>
  <c r="H127" i="1"/>
  <c r="Z126" i="1"/>
  <c r="H126" i="1"/>
  <c r="Z125" i="1"/>
  <c r="H125" i="1"/>
  <c r="Z124" i="1"/>
  <c r="H124" i="1"/>
  <c r="Z123" i="1"/>
  <c r="H123" i="1"/>
  <c r="Z122" i="1"/>
  <c r="H122" i="1"/>
  <c r="Z121" i="1"/>
  <c r="H121" i="1"/>
  <c r="Z120" i="1"/>
  <c r="H120" i="1"/>
  <c r="Z119" i="1"/>
  <c r="H119" i="1"/>
  <c r="Z118" i="1"/>
  <c r="H118" i="1"/>
  <c r="Z117" i="1"/>
  <c r="H117" i="1"/>
  <c r="Z116" i="1"/>
  <c r="H116" i="1"/>
  <c r="Z115" i="1"/>
  <c r="H115" i="1"/>
  <c r="Z114" i="1"/>
  <c r="H114" i="1"/>
  <c r="Z113" i="1"/>
  <c r="H113" i="1"/>
  <c r="Z112" i="1"/>
  <c r="H112" i="1"/>
  <c r="Z111" i="1"/>
  <c r="H111" i="1"/>
  <c r="Z110" i="1"/>
  <c r="H110" i="1"/>
  <c r="Z109" i="1"/>
  <c r="H109" i="1"/>
  <c r="Z108" i="1"/>
  <c r="H108" i="1"/>
  <c r="Z107" i="1"/>
  <c r="H107" i="1"/>
  <c r="Z106" i="1"/>
  <c r="H106" i="1"/>
  <c r="Z105" i="1"/>
  <c r="H105" i="1"/>
  <c r="Z104" i="1"/>
  <c r="H104" i="1"/>
  <c r="Z103" i="1"/>
  <c r="H103" i="1"/>
  <c r="Z102" i="1"/>
  <c r="H102" i="1"/>
  <c r="Z101" i="1"/>
  <c r="H101" i="1"/>
  <c r="Z100" i="1"/>
  <c r="H100" i="1"/>
  <c r="Z99" i="1"/>
  <c r="H99" i="1"/>
  <c r="Z98" i="1"/>
  <c r="H98" i="1"/>
  <c r="Z97" i="1"/>
  <c r="H97" i="1"/>
  <c r="Z96" i="1"/>
  <c r="H96" i="1"/>
  <c r="Z95" i="1"/>
  <c r="H95" i="1"/>
  <c r="Z94" i="1"/>
  <c r="H94" i="1"/>
  <c r="Z93" i="1"/>
  <c r="H93" i="1"/>
  <c r="Z92" i="1"/>
  <c r="H92" i="1"/>
  <c r="Z91" i="1"/>
  <c r="H91" i="1"/>
  <c r="Z90" i="1"/>
  <c r="H90" i="1"/>
  <c r="Z89" i="1"/>
  <c r="H89" i="1"/>
  <c r="Z88" i="1"/>
  <c r="H88" i="1"/>
  <c r="Z87" i="1"/>
  <c r="H87" i="1"/>
  <c r="Z86" i="1"/>
  <c r="H86" i="1"/>
  <c r="Z85" i="1"/>
  <c r="H85" i="1"/>
  <c r="Z84" i="1"/>
  <c r="H84" i="1"/>
  <c r="Z83" i="1"/>
  <c r="H83" i="1"/>
  <c r="Z82" i="1"/>
  <c r="H82" i="1"/>
  <c r="Z81" i="1"/>
  <c r="H81" i="1"/>
  <c r="Z80" i="1"/>
  <c r="H80" i="1"/>
  <c r="Z79" i="1"/>
  <c r="H79" i="1"/>
  <c r="Z78" i="1"/>
  <c r="H78" i="1"/>
  <c r="Z77" i="1"/>
  <c r="H77" i="1"/>
  <c r="Z76" i="1"/>
  <c r="H76" i="1"/>
  <c r="Z75" i="1"/>
  <c r="H75" i="1"/>
  <c r="Z74" i="1"/>
  <c r="H74" i="1"/>
  <c r="Z73" i="1"/>
  <c r="H73" i="1"/>
  <c r="Z72" i="1"/>
  <c r="H72" i="1"/>
  <c r="Z71" i="1"/>
  <c r="H71" i="1"/>
  <c r="Z70" i="1"/>
  <c r="H70" i="1"/>
  <c r="Z69" i="1"/>
  <c r="H69" i="1"/>
  <c r="Z68" i="1"/>
  <c r="H68" i="1"/>
  <c r="Z67" i="1"/>
  <c r="H67" i="1"/>
  <c r="Z66" i="1"/>
  <c r="H66" i="1"/>
  <c r="Z65" i="1"/>
  <c r="H65" i="1"/>
  <c r="Z64" i="1"/>
  <c r="H64" i="1"/>
  <c r="Z63" i="1"/>
  <c r="H63" i="1"/>
  <c r="Z62" i="1"/>
  <c r="H62" i="1"/>
  <c r="Z61" i="1"/>
  <c r="H61" i="1"/>
  <c r="Z60" i="1"/>
  <c r="H60" i="1"/>
  <c r="Z59" i="1"/>
  <c r="H59" i="1"/>
  <c r="Z58" i="1"/>
  <c r="H58" i="1"/>
  <c r="Z57" i="1"/>
  <c r="H57" i="1"/>
  <c r="Z56" i="1"/>
  <c r="H56" i="1"/>
  <c r="Z55" i="1"/>
  <c r="H55" i="1"/>
  <c r="Z54" i="1"/>
  <c r="H54" i="1"/>
  <c r="Z53" i="1"/>
  <c r="H53" i="1"/>
  <c r="Z52" i="1"/>
  <c r="H52" i="1"/>
  <c r="Z51" i="1"/>
  <c r="H51" i="1"/>
  <c r="Z50" i="1"/>
  <c r="H50" i="1"/>
  <c r="Z49" i="1"/>
  <c r="H49" i="1"/>
  <c r="Z48" i="1"/>
  <c r="H48" i="1"/>
  <c r="Z47" i="1"/>
  <c r="H47" i="1"/>
  <c r="Z46" i="1"/>
  <c r="H46" i="1"/>
  <c r="Z45" i="1"/>
  <c r="H45" i="1"/>
  <c r="Z44" i="1"/>
  <c r="H44" i="1"/>
  <c r="Z43" i="1"/>
  <c r="H43" i="1"/>
  <c r="Z42" i="1"/>
  <c r="H42" i="1"/>
  <c r="Z41" i="1"/>
  <c r="H41" i="1"/>
  <c r="Z40" i="1"/>
  <c r="H40" i="1"/>
  <c r="Z39" i="1"/>
  <c r="H39" i="1"/>
  <c r="Z38" i="1"/>
  <c r="H38" i="1"/>
  <c r="Z37" i="1"/>
  <c r="H37" i="1"/>
  <c r="Z36" i="1"/>
  <c r="H36" i="1"/>
  <c r="Z35" i="1"/>
  <c r="H35" i="1"/>
  <c r="Z34" i="1"/>
  <c r="H34" i="1"/>
  <c r="Z33" i="1"/>
  <c r="H33" i="1"/>
  <c r="Z32" i="1"/>
  <c r="H32" i="1"/>
  <c r="Z31" i="1"/>
  <c r="H31" i="1"/>
  <c r="Z30" i="1"/>
  <c r="H30" i="1"/>
  <c r="Z29" i="1"/>
  <c r="H29" i="1"/>
  <c r="Z28" i="1"/>
  <c r="H28" i="1"/>
  <c r="Z27" i="1"/>
  <c r="H27" i="1"/>
  <c r="Z26" i="1"/>
  <c r="H26" i="1"/>
  <c r="Z25" i="1"/>
  <c r="H25" i="1"/>
  <c r="Z24" i="1"/>
  <c r="H24" i="1"/>
  <c r="Z23" i="1"/>
  <c r="H23" i="1"/>
  <c r="Z22" i="1"/>
  <c r="H22" i="1"/>
  <c r="Z21" i="1"/>
  <c r="H21" i="1"/>
  <c r="Z20" i="1"/>
  <c r="H20" i="1"/>
  <c r="Z19" i="1"/>
  <c r="H19" i="1"/>
  <c r="Z18" i="1"/>
  <c r="H18" i="1"/>
  <c r="Z17" i="1"/>
  <c r="H17" i="1"/>
  <c r="Z16" i="1"/>
  <c r="H16" i="1"/>
  <c r="Z15" i="1"/>
  <c r="H15" i="1"/>
  <c r="Z14" i="1"/>
  <c r="H14" i="1"/>
  <c r="Z13" i="1"/>
  <c r="H13" i="1"/>
  <c r="Z12" i="1"/>
  <c r="H12" i="1"/>
  <c r="Z11" i="1"/>
  <c r="H11" i="1"/>
  <c r="Z10" i="1"/>
  <c r="H10" i="1"/>
  <c r="Z9" i="1"/>
  <c r="H9" i="1"/>
  <c r="Z8" i="1"/>
  <c r="H8" i="1"/>
  <c r="Z7" i="1"/>
  <c r="H7" i="1"/>
  <c r="Z6" i="1"/>
  <c r="H6" i="1"/>
  <c r="Z5" i="1"/>
  <c r="H5" i="1"/>
  <c r="Z4" i="1"/>
  <c r="H4" i="1"/>
  <c r="Z3" i="1"/>
  <c r="H3" i="1"/>
  <c r="L526" i="1"/>
  <c r="L486" i="1"/>
  <c r="L774" i="1"/>
  <c r="L503" i="1"/>
  <c r="L702" i="1"/>
  <c r="L302" i="1"/>
  <c r="L217" i="1"/>
  <c r="L708" i="1"/>
  <c r="L815" i="1"/>
  <c r="L512" i="1"/>
  <c r="L274" i="1"/>
  <c r="L755" i="1"/>
  <c r="L731" i="1"/>
  <c r="L230" i="1"/>
  <c r="L789" i="1"/>
  <c r="L514" i="1"/>
  <c r="L266" i="1"/>
  <c r="L164" i="1"/>
  <c r="L242" i="1"/>
  <c r="L740" i="1"/>
  <c r="L358" i="1"/>
  <c r="L204" i="1"/>
  <c r="L498" i="1"/>
  <c r="L737" i="1"/>
  <c r="L161" i="1"/>
  <c r="L234" i="1"/>
  <c r="L241" i="1"/>
  <c r="L516" i="1"/>
  <c r="L289" i="1"/>
  <c r="L766" i="1"/>
  <c r="L818" i="1"/>
  <c r="L525" i="1"/>
  <c r="L277" i="1"/>
  <c r="L208" i="1"/>
  <c r="L700" i="1"/>
  <c r="L779" i="1"/>
  <c r="L509" i="1"/>
  <c r="L795" i="1"/>
  <c r="L704" i="1"/>
  <c r="L222" i="1"/>
  <c r="L780" i="1"/>
  <c r="L499" i="1"/>
  <c r="L278" i="1"/>
  <c r="L231" i="1"/>
  <c r="L326" i="1"/>
  <c r="L286" i="1"/>
  <c r="L707" i="1"/>
  <c r="L259" i="1"/>
  <c r="L794" i="1"/>
  <c r="L501" i="1"/>
  <c r="L237" i="1"/>
  <c r="L760" i="1"/>
  <c r="L793" i="1"/>
  <c r="L522" i="1"/>
  <c r="L267" i="1"/>
  <c r="L200" i="1"/>
  <c r="L346" i="1"/>
  <c r="L768" i="1"/>
  <c r="L497" i="1"/>
  <c r="L233" i="1"/>
  <c r="L783" i="1"/>
  <c r="L502" i="1"/>
  <c r="L210" i="1"/>
  <c r="L770" i="1"/>
  <c r="L487" i="1"/>
  <c r="L238" i="1"/>
  <c r="L726" i="1"/>
  <c r="L203" i="1"/>
  <c r="L724" i="1"/>
  <c r="L323" i="1"/>
  <c r="L361" i="1"/>
  <c r="L265" i="1"/>
  <c r="L201" i="1"/>
  <c r="L753" i="1"/>
  <c r="L782" i="1"/>
  <c r="L493" i="1"/>
  <c r="L206" i="1"/>
  <c r="L752" i="1"/>
  <c r="L790" i="1"/>
  <c r="L515" i="1"/>
  <c r="L256" i="1"/>
  <c r="L165" i="1"/>
  <c r="L292" i="1"/>
  <c r="L762" i="1"/>
  <c r="L485" i="1"/>
  <c r="L225" i="1"/>
  <c r="L776" i="1"/>
  <c r="L494" i="1"/>
  <c r="L202" i="1"/>
  <c r="L756" i="1"/>
  <c r="L481" i="1"/>
  <c r="L235" i="1"/>
  <c r="L332" i="1"/>
  <c r="L785" i="1"/>
  <c r="L706" i="1"/>
  <c r="L284" i="1"/>
  <c r="L221" i="1"/>
  <c r="L285" i="1"/>
  <c r="L276" i="1"/>
  <c r="L212" i="1"/>
  <c r="L772" i="1"/>
  <c r="L343" i="1"/>
  <c r="L283" i="1"/>
  <c r="L739" i="1"/>
  <c r="L781" i="1"/>
  <c r="L500" i="1"/>
  <c r="L245" i="1"/>
  <c r="L240" i="1"/>
  <c r="L495" i="1"/>
  <c r="L754" i="1"/>
  <c r="L331" i="1"/>
  <c r="L205" i="1"/>
  <c r="L773" i="1"/>
  <c r="L282" i="1"/>
  <c r="L167" i="1"/>
  <c r="L727" i="1"/>
  <c r="L341" i="1"/>
  <c r="L227" i="1"/>
  <c r="L275" i="1"/>
  <c r="L778" i="1"/>
  <c r="L582" i="1"/>
  <c r="L184" i="1"/>
  <c r="L163" i="1"/>
  <c r="L224" i="1"/>
  <c r="L777" i="1"/>
  <c r="L342" i="1"/>
  <c r="L751" i="1"/>
  <c r="L174" i="1"/>
  <c r="L758" i="1"/>
  <c r="L246" i="1"/>
  <c r="L816" i="1"/>
  <c r="L736" i="1"/>
  <c r="L771" i="1"/>
  <c r="L488" i="1"/>
  <c r="L239" i="1"/>
  <c r="L218" i="1"/>
  <c r="L357" i="1"/>
  <c r="L741" i="1"/>
  <c r="L324" i="1"/>
  <c r="L162" i="1"/>
  <c r="L765" i="1"/>
  <c r="L279" i="1"/>
  <c r="L229" i="1"/>
  <c r="L701" i="1"/>
  <c r="L293" i="1"/>
  <c r="L216" i="1"/>
  <c r="L767" i="1"/>
  <c r="L504" i="1"/>
  <c r="L232" i="1"/>
  <c r="L166" i="1"/>
  <c r="L223" i="1"/>
  <c r="L496" i="1"/>
  <c r="L513" i="1"/>
  <c r="L220" i="1"/>
  <c r="L257" i="1"/>
  <c r="L524" i="1"/>
  <c r="L510" i="1"/>
  <c r="L750" i="1"/>
  <c r="L769" i="1"/>
  <c r="L784" i="1"/>
  <c r="L723" i="1"/>
  <c r="L757" i="1"/>
  <c r="L375" i="1"/>
  <c r="L228" i="1"/>
  <c r="L209" i="1"/>
  <c r="L310" i="1"/>
  <c r="L725" i="1"/>
  <c r="L291" i="1"/>
  <c r="L281" i="1"/>
  <c r="L759" i="1"/>
  <c r="L258" i="1"/>
  <c r="L817" i="1"/>
  <c r="L698" i="1"/>
  <c r="L287" i="1"/>
  <c r="L207" i="1"/>
  <c r="L226" i="1"/>
  <c r="L761" i="1"/>
  <c r="L195" i="1"/>
  <c r="L705" i="1"/>
  <c r="L749" i="1"/>
  <c r="L211" i="1"/>
  <c r="L792" i="1"/>
  <c r="L484" i="1"/>
  <c r="L703" i="1"/>
</calcChain>
</file>

<file path=xl/comments1.xml><?xml version="1.0" encoding="utf-8"?>
<comments xmlns="http://schemas.openxmlformats.org/spreadsheetml/2006/main">
  <authors>
    <author/>
  </authors>
  <commentList>
    <comment ref="O209" authorId="0" shapeId="0">
      <text>
        <r>
          <rPr>
            <sz val="10"/>
            <color rgb="FF000000"/>
            <rFont val="Arial"/>
          </rPr>
          <t>Kjell Ivar Bakkmoen:
Misforstått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64" authorId="0" shapeId="0">
      <text>
        <r>
          <rPr>
            <sz val="10"/>
            <color rgb="FF000000"/>
            <rFont val="Arial"/>
          </rPr>
          <t>Kjell Ivar Bakkmoen:
Misforstått</t>
        </r>
      </text>
    </comment>
  </commentList>
</comments>
</file>

<file path=xl/sharedStrings.xml><?xml version="1.0" encoding="utf-8"?>
<sst xmlns="http://schemas.openxmlformats.org/spreadsheetml/2006/main" count="20803" uniqueCount="5232">
  <si>
    <t>Demohuset HBE</t>
  </si>
  <si>
    <t>Håvard Bell (havard.bell@catenda.no)</t>
  </si>
  <si>
    <t>4441514f-3f29-4b1b-8d7b-a3a93342b00b</t>
  </si>
  <si>
    <t>68022af8-0842-4312-91e3-1ad8c52e8ee5</t>
  </si>
  <si>
    <t>Demohuset</t>
  </si>
  <si>
    <t>Anders Hjellvik (anders.hjellvik@catenda.no)</t>
  </si>
  <si>
    <t>d9a31234-04b4-476b-87ee-4b7872ca5196</t>
  </si>
  <si>
    <t>49847aaa-62bf-4f77-a4c2-5465af7b57d0</t>
  </si>
  <si>
    <t>Test</t>
  </si>
  <si>
    <t>6aa0c84c-e8d7-46c0-9b8b-f71e4744b658</t>
  </si>
  <si>
    <t>3884f273-9d79-4abd-8ded-070a1cc890d2</t>
  </si>
  <si>
    <t>The Project</t>
  </si>
  <si>
    <t>ec4c7a02-1c7b-4738-8ccd-0363ae06cf18</t>
  </si>
  <si>
    <t>Lars Bjørkhaug (lars.bjorkhaug@catenda.no)</t>
  </si>
  <si>
    <t>8a2d160b-4bd1-4f8d-8398-d5b8c6187465</t>
  </si>
  <si>
    <t>35785231-f314-4897-9934-c9bf86701e35</t>
  </si>
  <si>
    <t>HITOS</t>
  </si>
  <si>
    <t>e4748d8c-5493-4cca-9b1a-f5e46fae3db4</t>
  </si>
  <si>
    <t>NS 3451 = Element classification table</t>
  </si>
  <si>
    <t>AULA 4</t>
  </si>
  <si>
    <t>Leonardo Manzione (leonardo@coordenar.com.br)</t>
  </si>
  <si>
    <t>87f71128-6371-417f-bf58-d8fce9115b92</t>
  </si>
  <si>
    <t>44f58b74-ec11-4e93-8a34-a2ebcff62545</t>
  </si>
  <si>
    <t>test</t>
  </si>
  <si>
    <t>Leon van Berlo (leon.vanberlo@tno.nl)</t>
  </si>
  <si>
    <t>340db42a-8399-4494-b341-dc536fdf5e22</t>
  </si>
  <si>
    <t>9d7f28a6-1bd5-4c29-a19e-67c6e61ccd97</t>
  </si>
  <si>
    <t>BCF testcase</t>
  </si>
  <si>
    <t>ff07579b-868d-488a-a44b-1efc0b5c9ea5</t>
  </si>
  <si>
    <t>ZEB</t>
  </si>
  <si>
    <t>Dag Fjeld Edvardsen (dag.fjeld.edvardsen@catenda.no)</t>
  </si>
  <si>
    <t>f1af9442-3350-4b06-ad4e-d2c278566c1d</t>
  </si>
  <si>
    <t>cedac9c7-095a-4827-9563-6ff48077b12b</t>
  </si>
  <si>
    <t>Remmen (older)</t>
  </si>
  <si>
    <t>5c786ce5-48ab-431d-bfb8-6d2b5c93b496</t>
  </si>
  <si>
    <t>Demohuset bSDD</t>
  </si>
  <si>
    <t>fe9e339e-3710-49ac-a856-1c8541c65709</t>
  </si>
  <si>
    <t>P1</t>
  </si>
  <si>
    <t>Jan Erik Askjellrud (jan.erik.askjellrud@catenda.no)</t>
  </si>
  <si>
    <t>2a8ab727-df24-4434-890b-71697327ad39</t>
  </si>
  <si>
    <t>b13a2df1-072e-4733-9038-ddf2de231231</t>
  </si>
  <si>
    <t>0013 - Ullerntunet</t>
  </si>
  <si>
    <t>da5b3007-ebe6-463a-8cfd-0e759fccd1e7</t>
  </si>
  <si>
    <t>API demo project</t>
  </si>
  <si>
    <t>Demo User (demo_user@bimsync.com)</t>
  </si>
  <si>
    <t>5e1cb0ad-e0c3-4a9c-af5b-7892ec999fff</t>
  </si>
  <si>
    <t>15d4253b-2604-406b-8f35-b4fe66d7d1df</t>
  </si>
  <si>
    <t>Solveien 10</t>
  </si>
  <si>
    <t>6d137884-fe1b-4056-8efb-5b2c65ad5518</t>
  </si>
  <si>
    <t>Demohuset DKT 4</t>
  </si>
  <si>
    <t>3246ec23-1333-4a25-90e9-8dae5da1ea46</t>
  </si>
  <si>
    <t>Solveien 4</t>
  </si>
  <si>
    <t>70bf82a3-ce59-4702-beae-282af56710d6</t>
  </si>
  <si>
    <t>Knut Håkon Frølich (knut.hakon.frolich@oby.oslo.kommune.no)</t>
  </si>
  <si>
    <t>4df7b723-0fe5-454a-8b64-45cc6561d11b</t>
  </si>
  <si>
    <t>4519102c-4baf-42fd-898b-e8b39f5fa2aa</t>
  </si>
  <si>
    <t>NØS - 01</t>
  </si>
  <si>
    <t>2f3dae94-8c40-48e7-b44f-25d24b09206c</t>
  </si>
  <si>
    <t>StandardCell</t>
  </si>
  <si>
    <t>Nicholas Nisbet (nn@aec3.com)</t>
  </si>
  <si>
    <t>476edcbf-91df-4779-8509-75722cd42665</t>
  </si>
  <si>
    <t>4f9a66fa-d83d-4025-b1e8-700c5ab07f43</t>
  </si>
  <si>
    <t>Solveien 3</t>
  </si>
  <si>
    <t>265bcec1-4904-4527-af50-13698c111348</t>
  </si>
  <si>
    <t>test hello world</t>
  </si>
  <si>
    <t>1dc4665d-182a-4b6a-9464-23b2c94bc3ec</t>
  </si>
  <si>
    <t>Skien BFS</t>
  </si>
  <si>
    <t>Øystein Graffer (oystein.graffer@statsbygg.no)</t>
  </si>
  <si>
    <t>942d1f11-4e02-4521-8db6-1c0fc99a222b</t>
  </si>
  <si>
    <t>ae4e92db-903a-4fd2-9489-cf965e6bde5c</t>
  </si>
  <si>
    <t>Statsbygg HK</t>
  </si>
  <si>
    <t>Kristian Vedvik Holm (kristian.holm@catenda.no)</t>
  </si>
  <si>
    <t>419992a1-92c9-462d-989b-65950861c31d</t>
  </si>
  <si>
    <t>1196fae3-3970-4248-9aab-a96bfcafc562</t>
  </si>
  <si>
    <t>Ullerntunet-tilbyder-2</t>
  </si>
  <si>
    <t>ce9e0f8f-85ee-4382-a5f9-487a8ba703bf</t>
  </si>
  <si>
    <t>Ullerntunet-tilbyder-1</t>
  </si>
  <si>
    <t>a5f223bc-b874-48df-aedb-b82d8e864c4c</t>
  </si>
  <si>
    <t>UiT teknologbygg</t>
  </si>
  <si>
    <t>d212918b-2beb-41f0-b8d7-8642e77117f5</t>
  </si>
  <si>
    <t>Demo KTH</t>
  </si>
  <si>
    <t>bd9a883e-6a4c-4517-89b6-010cd75b0ab2</t>
  </si>
  <si>
    <t>Demo KL</t>
  </si>
  <si>
    <t>Kris Lengieza (Kris.Lengieza@stiles.com)</t>
  </si>
  <si>
    <t>cc56b762-dda0-489d-b141-cae9aa2ad9ab</t>
  </si>
  <si>
    <t>240bb2d4-200e-4dfb-93c8-587dbf29ed24</t>
  </si>
  <si>
    <t>Hytte_Diderik_Haug</t>
  </si>
  <si>
    <t>Frode Mohus (frode.mohus@statsbygg.no)</t>
  </si>
  <si>
    <t>78d62717-6de8-4948-8938-2d8975a6713c</t>
  </si>
  <si>
    <t>07a07799-b56e-40a9-8ee5-cb486201ef9e</t>
  </si>
  <si>
    <t>Remmen</t>
  </si>
  <si>
    <t>33b9937b-debf-416a-aa4a-3ed1fb036457</t>
  </si>
  <si>
    <t>Juletre</t>
  </si>
  <si>
    <t>3d9fe92d-d83b-44f8-a7e1-205f82a1069c</t>
  </si>
  <si>
    <t>test8</t>
  </si>
  <si>
    <t>91d0b744-3302-4ef2-88db-bdb98dff681d</t>
  </si>
  <si>
    <t>Catenda Oslo HQ</t>
  </si>
  <si>
    <t>User settings</t>
  </si>
  <si>
    <t>e7b6c926-4aff-4220-bdab-dd49767ff00d</t>
  </si>
  <si>
    <t>DenneKlarteIkkeIfcPlusPlus</t>
  </si>
  <si>
    <t>b663baea-93a3-43e7-b157-ec5dd18d303d</t>
  </si>
  <si>
    <t>Duplex_apartment</t>
  </si>
  <si>
    <t>57b73e64-7ad2-49f8-9e16-41e34b884b29</t>
  </si>
  <si>
    <t>Cobie_challenge</t>
  </si>
  <si>
    <t>6c3dae99-4068-404e-a361-f8ed5bb884d2</t>
  </si>
  <si>
    <t>B&amp;B BDC 2</t>
  </si>
  <si>
    <t>a0b3979e-a7bd-403e-9151-97721830bc2c</t>
  </si>
  <si>
    <t>Risløkka (Statsbygg)</t>
  </si>
  <si>
    <t>0265829e-c42f-4762-88f8-57bbae0a0bae</t>
  </si>
  <si>
    <t>Statsbygg_Risløkka</t>
  </si>
  <si>
    <t>28c5e67a-f233-4b1f-852c-eb20abe323cb</t>
  </si>
  <si>
    <t>Autodesk_rac_advanced_sample_project</t>
  </si>
  <si>
    <t>365152e2-e912-497c-b5c0-798ef7a01078</t>
  </si>
  <si>
    <t>Demohuset Forny</t>
  </si>
  <si>
    <t>26e23389-ab7f-443e-bc08-89e893291255</t>
  </si>
  <si>
    <t>St Olav VGS</t>
  </si>
  <si>
    <t>2ae769dd-66a5-49ec-a349-e218d493af59</t>
  </si>
  <si>
    <t>Kristallen5(konfid)</t>
  </si>
  <si>
    <t>ce96b20e-cd42-4c15-8d85-55f2d3ab1a8f</t>
  </si>
  <si>
    <t>CFCB Lengieza</t>
  </si>
  <si>
    <t>ddc97052-aa4e-488a-917f-5c0a3d0c2d98</t>
  </si>
  <si>
    <t>Arboleda Open BIM Project - old version</t>
  </si>
  <si>
    <t>b5def89d-a8c4-4c16-8df1-3caeb781a0a8</t>
  </si>
  <si>
    <t>Dura_CCO_DTU_Building127</t>
  </si>
  <si>
    <t>b160a463-ada6-4e24-91dc-b2fd20024f2c</t>
  </si>
  <si>
    <t>Janesville_restaurant</t>
  </si>
  <si>
    <t>6f39274f-7eee-46e4-a0ed-a7d4e7a6cb22</t>
  </si>
  <si>
    <t>Demohuset v4</t>
  </si>
  <si>
    <t>af259e08-b0bb-4e7b-ad5c-ff30214e4722</t>
  </si>
  <si>
    <t>118576 302 RIB</t>
  </si>
  <si>
    <t>Guðmundur Ludvigsson (gjl@mainmanager.is)</t>
  </si>
  <si>
    <t>c0f3fdf3-f0f0-4825-bcb5-599408736b46</t>
  </si>
  <si>
    <t>e7a0d5b2-b64f-4a9b-b59c-366dc1ae0fc5</t>
  </si>
  <si>
    <t>Trollfjordgata</t>
  </si>
  <si>
    <t>Glenn Markussen (glenn.markussen@catenda.no)</t>
  </si>
  <si>
    <t>7c6e1892-9c32-45c8-8c4f-22499d4436ea</t>
  </si>
  <si>
    <t>cda33023-8541-494c-b7a9-0fb11db9b5c3</t>
  </si>
  <si>
    <t>Den kloke tegning 2013</t>
  </si>
  <si>
    <t>1cead5c0-d3ef-4acc-b7df-ca396f5bd5ea</t>
  </si>
  <si>
    <t>0278191d-774c-4045-8d73-eba8ea472c86</t>
  </si>
  <si>
    <t>Lysakerbuen</t>
  </si>
  <si>
    <t>b68f673b-803e-446e-8205-d72b352ff0b0</t>
  </si>
  <si>
    <t>10931 UMB Urbygningen</t>
  </si>
  <si>
    <t>7eac7448-5e86-4181-a973-2c36d2ba3f90</t>
  </si>
  <si>
    <t>Trend 3</t>
  </si>
  <si>
    <t>88c87843-a5be-47da-a082-36619cb287fe</t>
  </si>
  <si>
    <t>rlo = real life object</t>
  </si>
  <si>
    <t>Patologisk_10027_F_A_N_10_X_0_2BU</t>
  </si>
  <si>
    <t>74214311-4fb4-4659-bf94-c119436b0f53</t>
  </si>
  <si>
    <t>BCF test</t>
  </si>
  <si>
    <t>900520d3-ce0b-42cd-bc65-884f1048e798</t>
  </si>
  <si>
    <t>Statoil Sandsli</t>
  </si>
  <si>
    <t>dfe20e75-f175-494c-838b-d669ee608762</t>
  </si>
  <si>
    <t>SHF</t>
  </si>
  <si>
    <t>Christer Grønvold (gronvold@cobuilder.no)</t>
  </si>
  <si>
    <t>b18f88cd-1111-4241-9fff-b3d868a65dbc</t>
  </si>
  <si>
    <t>80d24606-6143-4ba4-a22e-2f037e93701d</t>
  </si>
  <si>
    <t>Testing import</t>
  </si>
  <si>
    <t>d45f334a-3fe9-4a5a-9c74-b8c8810f20f8</t>
  </si>
  <si>
    <t>Rise</t>
  </si>
  <si>
    <t>ce35704e-23c7-41c1-95db-4d18b0b977f1</t>
  </si>
  <si>
    <t>NTI Cadcenter Demo</t>
  </si>
  <si>
    <t>c716f787-ef8b-4656-b885-fc8b46244a3a</t>
  </si>
  <si>
    <t>TFM = Norwegian Element 
de facto Tagging standard</t>
  </si>
  <si>
    <t>Roteskuff</t>
  </si>
  <si>
    <t>IFC4</t>
  </si>
  <si>
    <t>d0ea5e3c-fb65-4049-81e8-0cbf7e5bdbfd</t>
  </si>
  <si>
    <t>Namsos trafossjakt</t>
  </si>
  <si>
    <t>Stian Kristiansen (stian.kristiansen@ramboll.no)</t>
  </si>
  <si>
    <t>94e310ca-2fbe-47d5-ad8f-3b28de98e89c</t>
  </si>
  <si>
    <t>988d35aa-e1d2-4bcc-bc26-1ec3852cd2db</t>
  </si>
  <si>
    <t>Scandic Hotell Aquarama</t>
  </si>
  <si>
    <t>Armas Aavatsmark (armas.aavatsmark@asplanviak.no)</t>
  </si>
  <si>
    <t>281d547d-4256-4f95-a8d6-644f3bcdc53f</t>
  </si>
  <si>
    <t>f31011b7-0f88-4ebb-847b-40ec019b0619</t>
  </si>
  <si>
    <t>Østfold sykehus</t>
  </si>
  <si>
    <t>ee34c8c1-c64e-4333-8d49-93f0d073e461</t>
  </si>
  <si>
    <t>Demo</t>
  </si>
  <si>
    <t>137e1157-6397-41c0-8c8b-15255dcbc6f6</t>
  </si>
  <si>
    <t>K4</t>
  </si>
  <si>
    <t>missing</t>
  </si>
  <si>
    <t>1b048f4b-9c1c-49a7-8b25-822a5b65d456</t>
  </si>
  <si>
    <t>Dura_OsloBispegaard</t>
  </si>
  <si>
    <t>9f1f465b-2494-4b73-a8a5-0d027c4e114f</t>
  </si>
  <si>
    <t>Veitvet skole</t>
  </si>
  <si>
    <t>Rupert James Hanna (rupert.hanna@skanska.no)</t>
  </si>
  <si>
    <t>206c5775-5e36-4eed-ab6e-465e3e94e79a</t>
  </si>
  <si>
    <t>eed5e7c3-2cd2-40e1-8ad0-43f1e3d26fe2</t>
  </si>
  <si>
    <t>Demoproject</t>
  </si>
  <si>
    <t>Bernard Ferries (bernard.ferries@toulouse.archi.fr)</t>
  </si>
  <si>
    <t>cf4d8453-44bd-4e64-9f78-70ad5484c555</t>
  </si>
  <si>
    <t>4d8f0683-7d0e-4e9d-bd1b-bd541caea061</t>
  </si>
  <si>
    <t>792a8772-32df-488d-8671-27406a3b889d</t>
  </si>
  <si>
    <t>NS3451 Chapter</t>
  </si>
  <si>
    <t>877c214e-d143-4769-84c6-1934f5f2e4f4</t>
  </si>
  <si>
    <t>SHF 1</t>
  </si>
  <si>
    <t>350f9a29-7913-4207-b316-e624cadc30f9</t>
  </si>
  <si>
    <t>Bustader Uthaugsundet</t>
  </si>
  <si>
    <t>03662f1b-a802-423e-bce5-35808a20b54d</t>
  </si>
  <si>
    <t>Campus_Ås_fra_Statsbygg</t>
  </si>
  <si>
    <t>352171da-c750-48be-a0f4-e75d5ac6ec04</t>
  </si>
  <si>
    <t>TransBit Technologies</t>
  </si>
  <si>
    <t>0f7535f0-333f-4170-9731-0e7e49702590</t>
  </si>
  <si>
    <t>Airport</t>
  </si>
  <si>
    <t>3b3a94f8-0f2d-43e0-b899-e440b0d64c91</t>
  </si>
  <si>
    <t>NS3451 Chapter name</t>
  </si>
  <si>
    <t>importtest Glenn</t>
  </si>
  <si>
    <t>NS3451 Section</t>
  </si>
  <si>
    <t>NS3451 Section name</t>
  </si>
  <si>
    <t>0e6cb4c2-723d-4ba7-abb9-c8b7725b4932</t>
  </si>
  <si>
    <t>Demohuset Joint</t>
  </si>
  <si>
    <t>9a990701-5e5a-495c-9e70-9e1d13f2676a</t>
  </si>
  <si>
    <t>Undervisningsbygg</t>
  </si>
  <si>
    <t>72fdfcda-7775-41cc-8dab-ecb0320e256a</t>
  </si>
  <si>
    <t>KM Vessel</t>
  </si>
  <si>
    <t>Ivelin Andreev (ivelin.andreev@icb.bg)</t>
  </si>
  <si>
    <t>2237eb34-63f8-4fb3-be32-7a8b609586bd</t>
  </si>
  <si>
    <t>646c8d22-4c9a-4c30-bb65-9c174611168d</t>
  </si>
  <si>
    <t>Indeksbygg -- Lykkebo TEK10 Ark</t>
  </si>
  <si>
    <t>3687c88a-9eb6-44bb-89a4-a9e195389279</t>
  </si>
  <si>
    <t>Indeksbygg -- Trend TEK10 Arlk</t>
  </si>
  <si>
    <t>NS 3451 Code</t>
  </si>
  <si>
    <t>NS 3451 Name</t>
  </si>
  <si>
    <t>NS 3451 description</t>
  </si>
  <si>
    <t>392e423c-8e3c-4d5b-b808-b44cbf6209cd</t>
  </si>
  <si>
    <t>bSDD guid</t>
  </si>
  <si>
    <t>Viborg Bygning 04</t>
  </si>
  <si>
    <t>Real life object name</t>
  </si>
  <si>
    <t>4e56bdc3-1ef5-45f3-aff6-4257bf881273</t>
  </si>
  <si>
    <t>Blåbærlia</t>
  </si>
  <si>
    <t>fb2b893c-1384-488a-a030-0b94755aa704</t>
  </si>
  <si>
    <t>Arche Marengo</t>
  </si>
  <si>
    <t>66a19e20-204e-4ca3-80ec-662f7782da4b</t>
  </si>
  <si>
    <t>Jon Anders test</t>
  </si>
  <si>
    <t>Jon Anders Sollien (jon.anders.sollien@catenda.no)</t>
  </si>
  <si>
    <t>f5fbb3c6-9527-4d18-9003-6bf64f77eb71</t>
  </si>
  <si>
    <t>1406b774-10cd-420e-9008-1360b3871e98</t>
  </si>
  <si>
    <t>633178f4-2eaf-475f-b62c-abb2ea703798</t>
  </si>
  <si>
    <t>Imtec Kulturhus Kongsberg</t>
  </si>
  <si>
    <t>580c0b54-9399-4428-a4de-6d864d58a957</t>
  </si>
  <si>
    <t>Imtec Hegg</t>
  </si>
  <si>
    <t>e90f68a4-46e6-44bb-ae86-bd30045bd5d6</t>
  </si>
  <si>
    <t>ZEB_yellow</t>
  </si>
  <si>
    <t>cf079f6f-5ec7-42a1-b5dd-77ba7dd3a29c</t>
  </si>
  <si>
    <t>Langhus</t>
  </si>
  <si>
    <t>0d2be349-b063-41ab-8ada-6baa86b25c43</t>
  </si>
  <si>
    <t>RLO description Norwegian</t>
  </si>
  <si>
    <t>JLP</t>
  </si>
  <si>
    <t>Greg Davies (greg.davies@concerto.co.uk)</t>
  </si>
  <si>
    <t>5407b087-d0a7-4df2-9e07-96e1fed87fc3</t>
  </si>
  <si>
    <t>f4696067-d0fe-4570-88d2-52ebc1b60f0e</t>
  </si>
  <si>
    <t>Demohuset 2</t>
  </si>
  <si>
    <t>1f43226b-b5c2-4c03-a0b5-b633a0f941f2</t>
  </si>
  <si>
    <t>BIMscript demo</t>
  </si>
  <si>
    <t>John Egan (johnegan@bimscript.com)</t>
  </si>
  <si>
    <t>281d698b-4217-4ffc-a179-9eac19869385</t>
  </si>
  <si>
    <t>bf8b23aa-b762-492a-9704-6de256660fa1</t>
  </si>
  <si>
    <t>Demoproject Ibis accountmanagers</t>
  </si>
  <si>
    <t>RLO name in English</t>
  </si>
  <si>
    <t>Lars Bjørkhaug (lars@otima.no)</t>
  </si>
  <si>
    <t>RLO description in English</t>
  </si>
  <si>
    <t>TFM kode</t>
  </si>
  <si>
    <t>60302334-0ad3-4a87-8901-3a6b1f5b4f30</t>
  </si>
  <si>
    <t>e7488e50-9f40-44c7-85e7-77be95729289</t>
  </si>
  <si>
    <t>Voorbeeldproject 2</t>
  </si>
  <si>
    <t>Jeroen van den Burg (j.van.den.burg@ibis.nl)</t>
  </si>
  <si>
    <t>47d732db-8748-44c3-9d83-e0fe78dc5a90</t>
  </si>
  <si>
    <t>c60d1497-85ce-4016-9f60-0328d8bbc84c</t>
  </si>
  <si>
    <t>Demo-project</t>
  </si>
  <si>
    <t>89b8ac36-8830-4e3e-9418-31bc62f44d6a</t>
  </si>
  <si>
    <t>Veidekke test</t>
  </si>
  <si>
    <t>Eirik Kristensen (eirik.kristensen@veidekke.no)</t>
  </si>
  <si>
    <t>All contexts:</t>
  </si>
  <si>
    <t>c3492aa9-c9eb-4d64-adde-511ef2592233</t>
  </si>
  <si>
    <t>28f47c9e-5d45-489d-b6e7-d743ec51d8d1</t>
  </si>
  <si>
    <t>2Sallesbrep</t>
  </si>
  <si>
    <t>fc94711b-b4ed-40a6-a0e0-768a236cc60a</t>
  </si>
  <si>
    <t>ENSA de Toulouse</t>
  </si>
  <si>
    <t>1360557e-81c4-4d7f-9c5e-47341a28c303</t>
  </si>
  <si>
    <t>Opération de Chevigny</t>
  </si>
  <si>
    <t>2836871b-0534-4792-87f3-618f2fe59a69</t>
  </si>
  <si>
    <t>Astudio</t>
  </si>
  <si>
    <t>59cccf8f-e98e-4858-9688-7c69634cd778</t>
  </si>
  <si>
    <t>Sweco testprosjekt</t>
  </si>
  <si>
    <t>Martin Amdal (martin.amdal@sweco.no)</t>
  </si>
  <si>
    <t>b24dff6b-3bb1-41a3-ab75-a98956e8a4e4</t>
  </si>
  <si>
    <t>7291136c-6d1e-437f-850a-104137bd9914</t>
  </si>
  <si>
    <t>Schulz residence</t>
  </si>
  <si>
    <t>23ff2848-335e-4f37-83c3-44e8aafaaacd</t>
  </si>
  <si>
    <t>UMB_compressed</t>
  </si>
  <si>
    <t>94f70cf9-7e9f-40e4-9fb1-7e4e8a04137a</t>
  </si>
  <si>
    <t>Coordenar Project Sample</t>
  </si>
  <si>
    <t>28870660-16dd-47c2-aea4-cf29acfe5043</t>
  </si>
  <si>
    <t>Habitat76 - Bâtiment géré dans Abyla</t>
  </si>
  <si>
    <t>dc112b15-816d-460a-a345-71f62e0717b7</t>
  </si>
  <si>
    <t>Elevdemo</t>
  </si>
  <si>
    <t>Anders Bodeng (anboa034@osloskolen.no)</t>
  </si>
  <si>
    <t>194fcaab-8f5c-42ff-9492-359b9b8b6d42</t>
  </si>
  <si>
    <t>db0c7fca-1d39-4658-894b-c7adab25d97f</t>
  </si>
  <si>
    <t>Jon Gustad (jogua017@osloskolen.no)</t>
  </si>
  <si>
    <t>8fc2384a-a16c-4c58-ac63-d3e9a22b5a53</t>
  </si>
  <si>
    <t>4525f329-0749-41c0-b989-adb6d08714c0</t>
  </si>
  <si>
    <t>Old</t>
  </si>
  <si>
    <t>Thomas Olsen (thola007@osloskolen.no)</t>
  </si>
  <si>
    <t>9428c1bb-22d3-4649-b224-c2e1b39ffd12</t>
  </si>
  <si>
    <t>bf98fe57-9286-4388-af99-a41ea883c99e</t>
  </si>
  <si>
    <t>Samhandlings Prosjekt</t>
  </si>
  <si>
    <t>Anders Joachim Wiken (anwia016@osloskolen.no)</t>
  </si>
  <si>
    <t>b462491b-4af4-416a-afff-be1128f0e387</t>
  </si>
  <si>
    <t>3c756151-f9de-4ebf-b347-a6abe9e18b09</t>
  </si>
  <si>
    <t>Brand Botnermyr (brboa004@osloskolen.no)</t>
  </si>
  <si>
    <t>e9763c00-1897-406c-8b9e-9457d0176f51</t>
  </si>
  <si>
    <t>9d2e5871-6125-4f2b-ab56-ee8e92bdfc3f</t>
  </si>
  <si>
    <t>Thor Erik Johnsrud (thjoa022@osloskolen.no)</t>
  </si>
  <si>
    <t>6e1dc879-6168-47be-a271-cc8effe34d20</t>
  </si>
  <si>
    <t>753903d7-126e-4567-b183-200eb53f5ac2</t>
  </si>
  <si>
    <t>Halmat Sarzali (helmat0805@osloskolen.no)</t>
  </si>
  <si>
    <t>797bfb2d-c2b7-4a64-b89a-a869705da5a6</t>
  </si>
  <si>
    <t>f748e973-6c9d-4782-8d09-6675af5dd6da</t>
  </si>
  <si>
    <t>Prosjekt Perfekt</t>
  </si>
  <si>
    <t>Per Ferdinand Hengebøl Stensund (per.stensund@fagskolen.oslo.no)</t>
  </si>
  <si>
    <t>384fbc24-06e6-4015-90e2-d0f3ec19a9ea</t>
  </si>
  <si>
    <t>TFM komponent-funksjon</t>
  </si>
  <si>
    <t>9b468763-cbf8-48c2-a108-7983b163091b</t>
  </si>
  <si>
    <t>TFM faganvendelse</t>
  </si>
  <si>
    <t>IFC4 entity</t>
  </si>
  <si>
    <t>Morten Terjesen (morten.terjesen@fagskolen.oslo.no)</t>
  </si>
  <si>
    <t>1ba7b8dd-51b5-4842-96fa-a46ea2af62d0</t>
  </si>
  <si>
    <t>eda3e284-572c-403d-b5a5-f0baa4bdec1d</t>
  </si>
  <si>
    <t>Gespro demo</t>
  </si>
  <si>
    <t>523cb640-269f-45b0-ac78-73361d0de393</t>
  </si>
  <si>
    <t>Corio</t>
  </si>
  <si>
    <t>b5384234-e6e2-4e1d-a4ed-9bf1fe7cfbf8</t>
  </si>
  <si>
    <t>Projeto BETA</t>
  </si>
  <si>
    <t>IFC4 type</t>
  </si>
  <si>
    <t>Ifc4 Enumeration</t>
  </si>
  <si>
    <t>Ifc properties</t>
  </si>
  <si>
    <t>Comments</t>
  </si>
  <si>
    <t>53898185-d347-4f4d-a03b-7df30db6daa4</t>
  </si>
  <si>
    <t>Duraark_IFC_from_pointcloud</t>
  </si>
  <si>
    <t>6f0a4f09-b73e-4d8e-947b-ad127e160714</t>
  </si>
  <si>
    <t>Magnus Poulssons vei</t>
  </si>
  <si>
    <t>Ida Christine Blytt (ida.blytt@forny.no)</t>
  </si>
  <si>
    <t>b916c2a2-09ff-4206-9bf5-4488a57c28ad</t>
  </si>
  <si>
    <t>9a11fe5d-94b9-4cb9-80eb-7363d9179bbe</t>
  </si>
  <si>
    <t>Multiconsult test</t>
  </si>
  <si>
    <t>Pelle Haukaas (pelle.haukaas@multiconsult.no)</t>
  </si>
  <si>
    <t>2ee9f94e-0fd9-4ca3-88f9-0e6555d19c89</t>
  </si>
  <si>
    <t>5b5bf32e-3b67-47cc-b2a0-fa43fd6ae463</t>
  </si>
  <si>
    <t>bimsync</t>
  </si>
  <si>
    <t>3213d320-d327-4dcc-958c-9c798d5869bf</t>
  </si>
  <si>
    <t>Ibis Training #4</t>
  </si>
  <si>
    <t>Ron van den Berge (r.van.den.berge@ibis.nl)</t>
  </si>
  <si>
    <t>875a69ff-e8df-4200-b27b-814a30bb541f</t>
  </si>
  <si>
    <t>9fa4d4e4-8d5d-4f10-8829-b734ca6a302a</t>
  </si>
  <si>
    <t>Ibis Training #5x</t>
  </si>
  <si>
    <t>Coen Verleur (c.verleur@ibis.nl)</t>
  </si>
  <si>
    <t>eb41dfcc-1eb1-46cd-81d3-391ca4b5dbdd</t>
  </si>
  <si>
    <t>60bd6b72-ab89-41c5-9b79-92383cdd1628</t>
  </si>
  <si>
    <t>WK huis</t>
  </si>
  <si>
    <t>fe8daedd-9a2d-40d2-bb51-98e221314340</t>
  </si>
  <si>
    <t>BIM-H _Sample_Project</t>
  </si>
  <si>
    <t>Dayy Hong (dayyhong@gmail.com)</t>
  </si>
  <si>
    <t>ELKRAFT</t>
  </si>
  <si>
    <t>61d328c9-e6dc-4851-9ec0-44e3adc412db</t>
  </si>
  <si>
    <t>2c9fff6d-d47e-4781-a702-e2d22001d1e2</t>
  </si>
  <si>
    <t>Maison du Bâtiment 95</t>
  </si>
  <si>
    <t>814ede8a-81fb-4749-84b3-439e6996878a</t>
  </si>
  <si>
    <t>Groupe 6</t>
  </si>
  <si>
    <t>d567303d-cf67-4f22-bfde-6d5658521085</t>
  </si>
  <si>
    <t>Omniclass 21 Elements</t>
  </si>
  <si>
    <t>BCF test #1</t>
  </si>
  <si>
    <t>60de5d8e-c394-41d4-84ae-356806db902d</t>
  </si>
  <si>
    <t>BCF test #2</t>
  </si>
  <si>
    <t>Elkraft generelt</t>
  </si>
  <si>
    <t>b446cfda-ecda-4970-bed5-b6ecd87fc521</t>
  </si>
  <si>
    <t>#BIMprospects</t>
  </si>
  <si>
    <t>f63ac7c1-ae97-4004-892b-eb04f6600b06</t>
  </si>
  <si>
    <t>Drammensveien 134</t>
  </si>
  <si>
    <t>Håkon Fløisbonn (hakon.floisbonn@skanska.no)</t>
  </si>
  <si>
    <t>e3741fd9-51a4-4ba6-a08f-a7c95679f9a3</t>
  </si>
  <si>
    <t>84a18d08-8597-4b2c-bf61-9a22737bc1ff</t>
  </si>
  <si>
    <t>IRM3</t>
  </si>
  <si>
    <t>Gespro demo (info@gespro.fr)</t>
  </si>
  <si>
    <t>5cabe6d0-f0f8-43e7-9450-407b43401589</t>
  </si>
  <si>
    <t>a2996610-52e4-46c8-b7c9-cc846c7711b5</t>
  </si>
  <si>
    <t>KONTEK</t>
  </si>
  <si>
    <t>37ab687e-797c-440c-9930-e219a76c6cc7</t>
  </si>
  <si>
    <t>Omniclass 22 Work sections</t>
  </si>
  <si>
    <t>Værste brygge trinn 1</t>
  </si>
  <si>
    <t>Uniclass 2 Elements table</t>
  </si>
  <si>
    <t>Kari Staw (kari.staw@backe.no)</t>
  </si>
  <si>
    <t>Illustrations</t>
  </si>
  <si>
    <t>4c17b293-d8f2-4756-a661-5ebd1ec6aca9</t>
  </si>
  <si>
    <t>Group</t>
  </si>
  <si>
    <t>0ff88f26-4532-4d38-a61e-c755c09a62e9</t>
  </si>
  <si>
    <t>Værste Test</t>
  </si>
  <si>
    <t>76d69af7-a61e-4c7e-a2d2-082dec772a19</t>
  </si>
  <si>
    <t>BYGNING</t>
  </si>
  <si>
    <t>Van Aken Architecten Demo</t>
  </si>
  <si>
    <t>Grunn og fundamenter</t>
  </si>
  <si>
    <t>9068c496-8039-447a-8056-d5098d12f5af</t>
  </si>
  <si>
    <t>Sørengstranda</t>
  </si>
  <si>
    <t>Kristian Smoge (kristian.smoge@gmail.com)</t>
  </si>
  <si>
    <t>38572771-86aa-4389-96c6-d12cecd3b15d</t>
  </si>
  <si>
    <t>61f793bd-9dbc-4f24-865d-f0bf1994bf07</t>
  </si>
  <si>
    <t>Portalen</t>
  </si>
  <si>
    <t>abdb1f49-14cc-452a-bed3-c2a2b560b190</t>
  </si>
  <si>
    <t>Masteroppgave demohuset</t>
  </si>
  <si>
    <t>cd2454f1-044e-4249-9f74-f64a195a01db</t>
  </si>
  <si>
    <t>Case Demo</t>
  </si>
  <si>
    <t>6dae2709-04aa-449e-a9f8-79b735047b7f</t>
  </si>
  <si>
    <t>rfserwe</t>
  </si>
  <si>
    <t>Mart (m.hoogenhout@ibis.nl)</t>
  </si>
  <si>
    <t>7ae6647e-c412-458b-a35a-7d34fc1d2e4a</t>
  </si>
  <si>
    <t>4e45f27b-e8c1-4ff8-990e-bf7d3854ac31</t>
  </si>
  <si>
    <t>BIM Prospects</t>
  </si>
  <si>
    <t>7875e3a7-9297-4c80-a92d-af9cefd8fce1</t>
  </si>
  <si>
    <t>AAA HBE test</t>
  </si>
  <si>
    <t>cdf85ee0-4149-42d1-ac7a-8ac3fa5a56d1</t>
  </si>
  <si>
    <t>Demoo</t>
  </si>
  <si>
    <t>535f4e55-626c-498c-bd45-303144579a3c</t>
  </si>
  <si>
    <t>Groupe Legendre Demo</t>
  </si>
  <si>
    <t>Julien BENOIT (julien.benoit@groupe-legendre.com)</t>
  </si>
  <si>
    <t>7a66c971-980e-4457-8079-e73af0ed7a08</t>
  </si>
  <si>
    <t>054223ce-0c73-49b3-9409-b2df0f2acb1f</t>
  </si>
  <si>
    <t>Planon Demo</t>
  </si>
  <si>
    <t>Eelco Bruijn (Eelco.deBruijn@planonsoftware.com)</t>
  </si>
  <si>
    <t>96698d21-2dcf-45d6-9c31-dc0db4184fff</t>
  </si>
  <si>
    <t>ae872f7b-a916-489e-959f-3a27556738f4</t>
  </si>
  <si>
    <t>Test prosjekt</t>
  </si>
  <si>
    <t>53058e21-f9b9-4f0b-941a-4b6e0b51cc0c</t>
  </si>
  <si>
    <t>Procore demoproject</t>
  </si>
  <si>
    <t>Will Lehrmann (willl@procore.com)</t>
  </si>
  <si>
    <t>Lavspent forsyning</t>
  </si>
  <si>
    <t>11ebf10f-6976-49ba-9ead-0082022ddc7a</t>
  </si>
  <si>
    <t>7b4ab0e6-620a-4690-9d83-dd5429f31481</t>
  </si>
  <si>
    <t>Testprosjekt</t>
  </si>
  <si>
    <t>MagnorVinduet (eirik.hesthamar@octaos.com)</t>
  </si>
  <si>
    <t>6b4ed298-70b3-4648-83c0-8f61795ab9bc</t>
  </si>
  <si>
    <t>012daabe-4295-4283-a093-bbb3eeb04593</t>
  </si>
  <si>
    <t>SiV_indeksbygg</t>
  </si>
  <si>
    <t>a13ad4d2-a1e3-46e0-9af5-963c204079fe</t>
  </si>
  <si>
    <t>F201</t>
  </si>
  <si>
    <t>isabelle fasse calvet (ifasse@free.fr)</t>
  </si>
  <si>
    <t>5c2ffe4c-cb1d-40ce-8bc8-11ae587ceb81</t>
  </si>
  <si>
    <t>Støttekonstruksjoner</t>
  </si>
  <si>
    <t>ae13e208-7775-4391-b5d1-8980ebe0f323</t>
  </si>
  <si>
    <t>Omfatter spuntvegger og andre avstivninger både permanente og midlertidige).</t>
  </si>
  <si>
    <t>IME LAUTAGNE</t>
  </si>
  <si>
    <t>bf974bb5-2060-45eb-be24-86df55612001</t>
  </si>
  <si>
    <t>Sherlayer Demo 2</t>
  </si>
  <si>
    <t>382d784f-5562-44fc-a159-c5b4983f8f28</t>
  </si>
  <si>
    <t>Ibis demo 1</t>
  </si>
  <si>
    <t>Elektrisk vern</t>
  </si>
  <si>
    <t>c614e5e8-eb15-40d8-a11e-3e6702ff7838</t>
  </si>
  <si>
    <t>Automatsikring</t>
  </si>
  <si>
    <t>Ibis demo 2</t>
  </si>
  <si>
    <t>Avstivende vegg</t>
  </si>
  <si>
    <t>cc727308-537e-4435-a747-5126f3f7c450</t>
  </si>
  <si>
    <t>LeapThought Demo (dwelling)</t>
  </si>
  <si>
    <t>2eed2610-7bed-4c39-85bc-8a181bf7dcd1</t>
  </si>
  <si>
    <t>Hagebyen</t>
  </si>
  <si>
    <t>Vanlig automatsikring elektronisk vern</t>
  </si>
  <si>
    <t>1adb7857-989a-41b8-a3ff-06946c47c7b5</t>
  </si>
  <si>
    <t>Omfatter andre avstivninger både permanente og midlertidige).</t>
  </si>
  <si>
    <t>Circuit breaker Automatic fuse</t>
  </si>
  <si>
    <t>Wall retaining</t>
  </si>
  <si>
    <t>D-Studio Demo</t>
  </si>
  <si>
    <t>ANDRE INSTALLASJONER</t>
  </si>
  <si>
    <t>bc1707cc-b4b5-4bee-b219-63db81670ffb</t>
  </si>
  <si>
    <t>Prefabrikerte rom</t>
  </si>
  <si>
    <t>Gamlehjem i motbakke</t>
  </si>
  <si>
    <t>Rolv Møll Nilsen (rolv@tiny-mesh.com)</t>
  </si>
  <si>
    <t>Prefabrikerte kjølerom</t>
  </si>
  <si>
    <t>b71b1810-e3b7-48ea-9914-953602312e75</t>
  </si>
  <si>
    <t>Inkluderer tekniske installasjoner i spesifisert omfang.</t>
  </si>
  <si>
    <t>5d6e389d-a6db-48f1-973a-315b6288cfbe</t>
  </si>
  <si>
    <t>B&amp;B BDC 4</t>
  </si>
  <si>
    <t>Gerard van Booma (gerardvanbooma@bbbdc.nl)</t>
  </si>
  <si>
    <t>85f9798c-ee31-44d4-990c-eee111c25008</t>
  </si>
  <si>
    <t>7aac8bf9-0d01-4b46-b21a-022ea8303348</t>
  </si>
  <si>
    <t>Test after upgrade</t>
  </si>
  <si>
    <t>9fc06c57-51c7-4ce2-908e-3df9190c192c</t>
  </si>
  <si>
    <t>Hunsund Tun 7</t>
  </si>
  <si>
    <t>57ca464c-3a5b-4797-8f18-5c7fbb6c5bf7</t>
  </si>
  <si>
    <t>Sherlayer Demo</t>
  </si>
  <si>
    <t>fe379b2b-db73-4976-9d6d-68bd06b5aead</t>
  </si>
  <si>
    <t>24 woningen De Palissade</t>
  </si>
  <si>
    <t>XF</t>
  </si>
  <si>
    <t>Koen van der Maat (k.vandermaat@vdgragt.nl)</t>
  </si>
  <si>
    <t>76e5dfd2-3b53-415c-b482-ae2a3c09363b</t>
  </si>
  <si>
    <t>b6cab871-6654-4949-bad3-e09f42cf0be8</t>
  </si>
  <si>
    <t>Fjellbovegen barnehage</t>
  </si>
  <si>
    <t>6e5020bc-843e-4a41-9ffb-9464c6ef72c1</t>
  </si>
  <si>
    <t>OPDC</t>
  </si>
  <si>
    <t>Ibis (Jeroen van den Burg )</t>
  </si>
  <si>
    <t>e0de2f06-c02b-4426-96a5-144cc765fa2c</t>
  </si>
  <si>
    <t>60067a55-d290-4e31-ba11-83ff9dcf6d77</t>
  </si>
  <si>
    <t>RH1</t>
  </si>
  <si>
    <t>56c68757-fd28-43bf-b1c3-c2fe7d50f443</t>
  </si>
  <si>
    <t>Nick demo 2</t>
  </si>
  <si>
    <t>be1f4222-ccbc-4433-bdf2-03b3a261ed66</t>
  </si>
  <si>
    <t>Test Coord ANders</t>
  </si>
  <si>
    <t>5a2db707-a541-4d22-bb9a-23fdf808e127</t>
  </si>
  <si>
    <t>Gamle Grundsetveg 70</t>
  </si>
  <si>
    <t>2b198d1b-2241-4d4c-a1ee-b6c5b1213937</t>
  </si>
  <si>
    <t>Paris Saussure</t>
  </si>
  <si>
    <t>3c287de9-ea9d-4893-a909-ec069312cfbe</t>
  </si>
  <si>
    <t>Komponenter for vern</t>
  </si>
  <si>
    <t>Sikrigner Motorvern Sikringsautomater Automatsikring Bimetall</t>
  </si>
  <si>
    <t>IfcProtectiveDevice</t>
  </si>
  <si>
    <t>IfcProtectiveDeviceTypeEnum</t>
  </si>
  <si>
    <t>RESIDUALCURRENTCIRCUITBREAKER</t>
  </si>
  <si>
    <t>All languages</t>
  </si>
  <si>
    <t>Contexts</t>
  </si>
  <si>
    <t>Context GUID</t>
  </si>
  <si>
    <t>Is Restricted</t>
  </si>
  <si>
    <t>Is read only</t>
  </si>
  <si>
    <t>context owners</t>
  </si>
  <si>
    <t>Name in self</t>
  </si>
  <si>
    <t>Name in english</t>
  </si>
  <si>
    <t>GUID</t>
  </si>
  <si>
    <t>LangCode</t>
  </si>
  <si>
    <t xml:space="preserve">Classifications  </t>
  </si>
  <si>
    <t>0NCiy0RrCHuO00025QrE$V</t>
  </si>
  <si>
    <t>Effektbryter</t>
  </si>
  <si>
    <t>Måler strøm og temperatur overbelastning og kortslutning treg lastbryter sterkstrøm</t>
  </si>
  <si>
    <t>Circuit breaker</t>
  </si>
  <si>
    <t>XQ</t>
  </si>
  <si>
    <t>superuser</t>
  </si>
  <si>
    <t>Lastbryter for kraftteknikk Sikringsskillebrytere</t>
  </si>
  <si>
    <t>CIRCUITBREAKER</t>
  </si>
  <si>
    <t>AU English</t>
  </si>
  <si>
    <t>ENGLISH</t>
  </si>
  <si>
    <t>04vAkF_qL7qOqKIkl_5kJi</t>
  </si>
  <si>
    <t>en-AU</t>
  </si>
  <si>
    <t>Pick up to 3 context that new relationships will be added to</t>
  </si>
  <si>
    <t>VVS</t>
  </si>
  <si>
    <t>IFC-2x4</t>
  </si>
  <si>
    <t>0zJVPr3UT7Yf3VIENUwY2H</t>
  </si>
  <si>
    <t>Generelt vedr. VVS- installasjoner</t>
  </si>
  <si>
    <t>Espen Schulze</t>
  </si>
  <si>
    <t>Ledningsnett generelt</t>
  </si>
  <si>
    <t>Polski</t>
  </si>
  <si>
    <t>POLISH</t>
  </si>
  <si>
    <t>Omfatter rør- og ventilasjonstekniske installasjoner for drift av bygning og for virksomhet i bygning.</t>
  </si>
  <si>
    <t>0g4D83bUH8OfN$o5zyXpgr</t>
  </si>
  <si>
    <t>pl-PL</t>
  </si>
  <si>
    <t xml:space="preserve">Rørbend </t>
  </si>
  <si>
    <t xml:space="preserve">Bend albue </t>
  </si>
  <si>
    <t>CoBuilder Context</t>
  </si>
  <si>
    <t>Bend</t>
  </si>
  <si>
    <t>1$4dKiuHDBHPy5mGSqs$vZ</t>
  </si>
  <si>
    <t>Isolasjonsovervåking</t>
  </si>
  <si>
    <t>Varsler bryter ikke jordfeil</t>
  </si>
  <si>
    <t>Insulation monitoring device</t>
  </si>
  <si>
    <t>QE</t>
  </si>
  <si>
    <t>Vern for elektrisk utstyr Overspenningsvern Overspenningsavledere Spenningsvakt 0-Spenningsvern EMP-vern (elektromagnetisk puls) Jordfeilbryter Jordplate Jordelektrode</t>
  </si>
  <si>
    <t>IfcSensor</t>
  </si>
  <si>
    <t>Jordfeilbryter</t>
  </si>
  <si>
    <t>Earth fault breaker</t>
  </si>
  <si>
    <t>EARTHINGSWITCH</t>
  </si>
  <si>
    <t>Jordfeilovervåking</t>
  </si>
  <si>
    <t>Earth faullt monitoring device</t>
  </si>
  <si>
    <t>KT</t>
  </si>
  <si>
    <t>Deler (rør)</t>
  </si>
  <si>
    <t>Bend albu</t>
  </si>
  <si>
    <t>IfcProtectiveDeviceTrippingUnit</t>
  </si>
  <si>
    <t>IfcPipeFitting</t>
  </si>
  <si>
    <t>IfcProtectiveDeviceTrippingUnitTypeEnum</t>
  </si>
  <si>
    <t>IfcPipeFittingTypeEnum</t>
  </si>
  <si>
    <t>ELECTROMAGNETIC</t>
  </si>
  <si>
    <t>BEND</t>
  </si>
  <si>
    <t>Jordfeilvern</t>
  </si>
  <si>
    <t>Earth fault protection</t>
  </si>
  <si>
    <t>EARTHLEAKAGECIRCUITBREAKER</t>
  </si>
  <si>
    <t>Fastpunkt i ledningsnett</t>
  </si>
  <si>
    <t>Motorvern</t>
  </si>
  <si>
    <t>I skap. Overbelastning</t>
  </si>
  <si>
    <t>Motor protective device</t>
  </si>
  <si>
    <t xml:space="preserve">Henning Kongsgård | Espen Schulze | Jørgen Merkesdal | </t>
  </si>
  <si>
    <t>Latviešu</t>
  </si>
  <si>
    <t>LATVIAN</t>
  </si>
  <si>
    <t>Pset_ProtectiveDeviceBreakerUnitType: MOTORPROTECTION</t>
  </si>
  <si>
    <t>0vYtXm1FX0kvQswrRUzjHc</t>
  </si>
  <si>
    <t>lv-LV</t>
  </si>
  <si>
    <t>ContextGUID1</t>
  </si>
  <si>
    <t>BK/FI</t>
  </si>
  <si>
    <t>12rvW0kz0HtG00025QrE$V</t>
  </si>
  <si>
    <t>Overspenningsvern</t>
  </si>
  <si>
    <t>Måler og bryter</t>
  </si>
  <si>
    <t>IFC 2x4</t>
  </si>
  <si>
    <t>IFC</t>
  </si>
  <si>
    <t>1ASQw0qJqHuO00025QrE$V</t>
  </si>
  <si>
    <t>Overvoltage protection</t>
  </si>
  <si>
    <t>ifc-2X4</t>
  </si>
  <si>
    <t>ContextGUID2</t>
  </si>
  <si>
    <t>freeBIM DACH</t>
  </si>
  <si>
    <t>14O6rAaJn4TBTIXz8miN2V</t>
  </si>
  <si>
    <t>VARISTOR</t>
  </si>
  <si>
    <t>Peter Muigg</t>
  </si>
  <si>
    <t xml:space="preserve"> </t>
  </si>
  <si>
    <t>NZ English</t>
  </si>
  <si>
    <t>1N3sZdbsLAtQ2K2Rd1l0Ig</t>
  </si>
  <si>
    <t>en-NZ</t>
  </si>
  <si>
    <t>ContextGUID3</t>
  </si>
  <si>
    <t>NACIT - North American Construction Industry Terminology</t>
  </si>
  <si>
    <t>16hok0js4Htm00025QrE$V</t>
  </si>
  <si>
    <t>Sikring</t>
  </si>
  <si>
    <t>Kortslutning (rask) gammeldags skrusikring</t>
  </si>
  <si>
    <t>Circuit breaker Fuse</t>
  </si>
  <si>
    <t>српски језик</t>
  </si>
  <si>
    <t>Serbian</t>
  </si>
  <si>
    <t>FUSEDISCONNECTOR</t>
  </si>
  <si>
    <t>Spenningsovervåkningsmåler</t>
  </si>
  <si>
    <t>Måler</t>
  </si>
  <si>
    <t>Voltage control unit</t>
  </si>
  <si>
    <t>1Vs9JZWzP5RfutrFhw8kla</t>
  </si>
  <si>
    <t>RF</t>
  </si>
  <si>
    <t>sr-SP</t>
  </si>
  <si>
    <t>Strømningsmåler</t>
  </si>
  <si>
    <t>Flow Rate Mengdemåler Luftmengdemåler Målekors Måleblende Strømningsviser Volummeter</t>
  </si>
  <si>
    <t xml:space="preserve">Language details. These matches the speadsheet used for input. </t>
  </si>
  <si>
    <t>Open context</t>
  </si>
  <si>
    <t>IfcSensorTypeEnum</t>
  </si>
  <si>
    <t>1Sos60oc8Hsm00W01W3_W0</t>
  </si>
  <si>
    <t>CONDUCTANCESENSOR</t>
  </si>
  <si>
    <t>Termisk sikring</t>
  </si>
  <si>
    <t>Termisk vern Beskytter motor. Slår ut direkte</t>
  </si>
  <si>
    <t xml:space="preserve">Tthermal cut-out </t>
  </si>
  <si>
    <t>Fastpunkt på rør i forbindelse lengdeutvidelse pga temp. svingninger.</t>
  </si>
  <si>
    <t>Fixed point</t>
  </si>
  <si>
    <t>CQ</t>
  </si>
  <si>
    <t>THERMAL</t>
  </si>
  <si>
    <t>Festemateriell</t>
  </si>
  <si>
    <t>Skruer Bolter Nagler Stift Klammer Hengsler</t>
  </si>
  <si>
    <t>Termovakt</t>
  </si>
  <si>
    <t xml:space="preserve">Varsler </t>
  </si>
  <si>
    <t>Thermal monitoring device</t>
  </si>
  <si>
    <t>QT</t>
  </si>
  <si>
    <t xml:space="preserve">superuser | u2tscc0s6uhsm00w01w3_w0 | u2veeq0s6uhsm00w01w3_w0 | u0lids0pscht00000pr1irl | u0k8i60xn0hsm0000pr1irl | ah@ttt.nl | ana.shz@gmail.com | andrea.baron.1@studenti.unipd.it | anjomshoaa@ifs.tuwien.ac.at | architect@cmu.edu | arild.hovland@focus.no | bdl@dalux.dk | bks@dds.no | bmcfarlane@saudioger.com | bob@1talltrees.com | cormacmac@live.ie | d.kuijsten@student.tue.nl | d.zuiderwijk@prc.nl | dflotte@hotmail.com | dzarchi@gmail.com | ebforever21@hanmail.net | ehsan.barekati@tamu.edu | elizabeth.barth-williams@smithgroup.com | emorte10@student.aau.dk | ferries@laurenti.com | gene.candela@schneider-electric.com | geoff@masterspec.co.nz | guillaume.picinbono@cstb.fr | hans-petter@brathaug.com | harnor10@student.aau.dk | helium.mak@nrc.gc.ca | huangbiz@gmail.com | info@3dekspert.ee | j.beetz@tue.nl | jan-olof.edgar@opcab.se | jmacdonald@kleinfelder.com | jpinto4@csc.com | jwan11@student.aau.dk | kkuscu@gmail.com | kris.mcglinn@cs.tcd.ie | ks@aec3.de | lars.joakim.nilsson@inmeta.com | malcolm.junkin@va.gov | maria.pedroto@gmail.com | mh@etim.nl | oyvind.jensen@norconsult.com | pedro.sacramento@gmail.com | pine@cmu.edu | pstack@umail.ucc.ie | rddc@uninova.pt | sabine.kuznik@gmx.de | sabine.kuznik@mailbox.tu-dresden.de | salla.palos@vtt.fi | spireup@gmail.com | ssp@cuneco.dk | steve@em8s.net | tina.macica@build-laccd.org | tobin@stud.ntnu.no | tojon@norconsult.no | tonyszxy@caece.net | wga@hanvanzwieten.nl | wmohamed@saudioger.com | youngchoon.park@jci.com | magnolouis@yahoo.com | wahid.hamed@gmail.com | david@digicon.ab.ca | 785748374@qq.com | billy.byrum@gmail.com | dh@htarch.com | keith.duddy@qut.edu.au | pastorovic@hotmail.com | scott.beazley@projectserices.qld.gov.au | scott.beazley@projectservices.qld.gov.au | solve.harr@sweco.se | tormi.tabor@fin.ee | tzvetan.madzharov@icb.bg | ian.chapman@thenbs.com | rgrant@nibs.org | gceton@csinet.org | </t>
  </si>
  <si>
    <t>Tempraturvakt</t>
  </si>
  <si>
    <t>中文</t>
  </si>
  <si>
    <t>Termostat (av/på) Frostvakt Termokontakt</t>
  </si>
  <si>
    <t>CHINESE</t>
  </si>
  <si>
    <t>1WfhO0obaHsm00W01W3_W0</t>
  </si>
  <si>
    <t>zh-CN</t>
  </si>
  <si>
    <t>Languages</t>
  </si>
  <si>
    <t>Guid</t>
  </si>
  <si>
    <t>Statens Kartverk - GAB</t>
  </si>
  <si>
    <t>1cUT60kbmHtG00025QrE$V</t>
  </si>
  <si>
    <t>IfcDiscreteAccessory</t>
  </si>
  <si>
    <t>Italiano</t>
  </si>
  <si>
    <t>ITALIAN</t>
  </si>
  <si>
    <t>1WfhOAobaHsm00W01W3_W0</t>
  </si>
  <si>
    <t>it-IT</t>
  </si>
  <si>
    <t>Norwegian</t>
  </si>
  <si>
    <t>PPBIM</t>
  </si>
  <si>
    <t>2$Dxwx1sv0VfXnKENpRAWh</t>
  </si>
  <si>
    <t>Frederic GRAND</t>
  </si>
  <si>
    <t>Русско</t>
  </si>
  <si>
    <t>RUSSIAN</t>
  </si>
  <si>
    <t>1WfhOKobaHsm00W01W3_W0</t>
  </si>
  <si>
    <t>ru-RU</t>
  </si>
  <si>
    <t>English</t>
  </si>
  <si>
    <t>BCA/AUS</t>
  </si>
  <si>
    <t>2KCrU0kyyHtG00025QrE$V</t>
  </si>
  <si>
    <t>Tiếng Việt</t>
  </si>
  <si>
    <t>VIETNAMESE</t>
  </si>
  <si>
    <t>1WfhOUobaHsm00W01W3_W0</t>
  </si>
  <si>
    <t>vi-VN</t>
  </si>
  <si>
    <t>Basisinstallasjoner for elkraft</t>
  </si>
  <si>
    <t>AU_Precinct_Modeling</t>
  </si>
  <si>
    <t>2Tf_HB4oH57Pssu5GP3$bk</t>
  </si>
  <si>
    <t>Systemer for kabelføring</t>
  </si>
  <si>
    <t>Jim Plume</t>
  </si>
  <si>
    <t>Kabelstiger kabelbrett kabelkanaler etc. og kabelrør med diameter større eller lik 30 mm. Eventuell brann- og lydisolasjon av gjennomføringer og brannisolasjon av kabler på bæresystem inngår.</t>
  </si>
  <si>
    <t>български език</t>
  </si>
  <si>
    <t>BULGARIAN</t>
  </si>
  <si>
    <t>1WfhOeobaHsm00W01W3_W0</t>
  </si>
  <si>
    <t>bg-BG</t>
  </si>
  <si>
    <t>Names</t>
  </si>
  <si>
    <t>OmniClass 2013</t>
  </si>
  <si>
    <t>2amlrcCJDAkQaVs76d2ZIA</t>
  </si>
  <si>
    <t xml:space="preserve">Roger Grant | Roger Grant | </t>
  </si>
  <si>
    <t>한국어</t>
  </si>
  <si>
    <t>KOREAN</t>
  </si>
  <si>
    <t>1WfhOoobaHsm00W01W3_W0</t>
  </si>
  <si>
    <t>kr-KR</t>
  </si>
  <si>
    <t>0O0Lc0m4H4A9gGTsR0NRey</t>
  </si>
  <si>
    <t>demo context</t>
  </si>
  <si>
    <t>Standards Norway</t>
  </si>
  <si>
    <t>2tLzm05EyHt00000PR1IRl</t>
  </si>
  <si>
    <t>العربي</t>
  </si>
  <si>
    <t>ARABIC</t>
  </si>
  <si>
    <t>1WfhOyobaHsm00W01W3_W0</t>
  </si>
  <si>
    <t>ar-SA</t>
  </si>
  <si>
    <t>1hEiPfFjD1KAP2nkgGc2EZ</t>
  </si>
  <si>
    <t>demo kontekst</t>
  </si>
  <si>
    <t>classifications</t>
  </si>
  <si>
    <t>2vySK09r4Hue00025QrE$V</t>
  </si>
  <si>
    <t xml:space="preserve">superuser | Lars Bjørkhaug | </t>
  </si>
  <si>
    <t>ελληνικά</t>
  </si>
  <si>
    <t>Greek</t>
  </si>
  <si>
    <t>1y4AcjYWD9nRpmSFNAb2xS</t>
  </si>
  <si>
    <t>el-GR</t>
  </si>
  <si>
    <t>ANCHORPLATE</t>
  </si>
  <si>
    <t>3ZHDY0VdiHtG0000PR1IRl</t>
  </si>
  <si>
    <t>Español</t>
  </si>
  <si>
    <t>SPANISH</t>
  </si>
  <si>
    <t>2Ym1xvKZb4sfGlIwkz49rS</t>
  </si>
  <si>
    <t>es-ES</t>
  </si>
  <si>
    <t xml:space="preserve">User </t>
  </si>
  <si>
    <t>Uniclass</t>
  </si>
  <si>
    <t>3bFguAUUWHue00025QrE$V</t>
  </si>
  <si>
    <t>Deutsch Österreich</t>
  </si>
  <si>
    <t>Forbindelsesledd</t>
  </si>
  <si>
    <t>GERMAN</t>
  </si>
  <si>
    <t>2_2FdmXiD7wPcZejdkQSpA</t>
  </si>
  <si>
    <t>Connector</t>
  </si>
  <si>
    <t>de-AT</t>
  </si>
  <si>
    <t>KR</t>
  </si>
  <si>
    <t>Eurostat</t>
  </si>
  <si>
    <t>Rør-generelt</t>
  </si>
  <si>
    <t>3cpn40kY4HtG00025QrE$V</t>
  </si>
  <si>
    <t>Rør Væske Damp El (Installasjonsrør)</t>
  </si>
  <si>
    <t>Монгол хэл</t>
  </si>
  <si>
    <t>CONNECTOR</t>
  </si>
  <si>
    <t>MONGOLEAN</t>
  </si>
  <si>
    <t>2r79I0FNKHtG0000PR1IRl</t>
  </si>
  <si>
    <t>mn-MN</t>
  </si>
  <si>
    <t>OmniClass</t>
  </si>
  <si>
    <t>3dgJk04fyHt00000PR1IRl</t>
  </si>
  <si>
    <t xml:space="preserve">superuser | u0lids0pscht00000pr1irl | u07zle0anwht00000pr1irl | u3vhdm0anyht00000pr1irl | </t>
  </si>
  <si>
    <t>British English</t>
  </si>
  <si>
    <t>36K5y0oTCHsm00051Mm008</t>
  </si>
  <si>
    <t>en-GB</t>
  </si>
  <si>
    <t>Føringsklammer</t>
  </si>
  <si>
    <t>LexiCon Specifying</t>
  </si>
  <si>
    <t>For å kontrollere ledningens bevegelser</t>
  </si>
  <si>
    <t>3ibos05eiHtm00025QrE$V</t>
  </si>
  <si>
    <t>Guide bracket</t>
  </si>
  <si>
    <t xml:space="preserve">superuser | u1ro8o0ajcht00000pr1irl | </t>
  </si>
  <si>
    <t>Canadian English</t>
  </si>
  <si>
    <t>Armaturskinne</t>
  </si>
  <si>
    <t>3FapaNr0L6VxYQhKnIACcq</t>
  </si>
  <si>
    <t>en-CA</t>
  </si>
  <si>
    <t>Lighting trunking cable tray</t>
  </si>
  <si>
    <t>BARBi</t>
  </si>
  <si>
    <t>CR</t>
  </si>
  <si>
    <t>3ldDc0oYiHsm00W01W3_W0</t>
  </si>
  <si>
    <t>Rammeverk / Oppheng</t>
  </si>
  <si>
    <t xml:space="preserve">superuser | u2tscc0s6uhsm00w01w3_w0 | u0lids0pscht00000pr1irl | Lars Bjørkhaug | </t>
  </si>
  <si>
    <t>Rammekonstruksjon for Utstyr og Installasjoner Montasjerammer Stativ Braketter Opphengsskinner Stålprofil Baner Barduner Stag Unistrut Kabelbro Kabelstige Kabelbaner Støttebein Bunnramme Sykkelstativ.</t>
  </si>
  <si>
    <t>Lietuvos</t>
  </si>
  <si>
    <t>LITHUANIAN</t>
  </si>
  <si>
    <t>3X533GlCfF9fETGSbmw_WR</t>
  </si>
  <si>
    <t>lt-LT</t>
  </si>
  <si>
    <t>IfcCableCarrierSegment</t>
  </si>
  <si>
    <t>RLOM</t>
  </si>
  <si>
    <t>IfcCableCarrierSegmentTypeEnum</t>
  </si>
  <si>
    <t>3rNm1tpij4cxaY3peC_SrI</t>
  </si>
  <si>
    <t>CABLETRAYSEGMENT</t>
  </si>
  <si>
    <t xml:space="preserve">Lars Bjørkhaug | Steen Sunesen | </t>
  </si>
  <si>
    <t>Dansk</t>
  </si>
  <si>
    <t>DANISH</t>
  </si>
  <si>
    <t>3bYgJ4lofFNeSiNNRC_Gdw</t>
  </si>
  <si>
    <t>BRACKET</t>
  </si>
  <si>
    <t>dk-DK</t>
  </si>
  <si>
    <t>LexiCon Defining</t>
  </si>
  <si>
    <t>3s89M05eiHtm00025QrE$V</t>
  </si>
  <si>
    <t>Rør elkraft</t>
  </si>
  <si>
    <t>Deutsch Schweiz</t>
  </si>
  <si>
    <t>3jq86Rlpr8Yx5djrM69A3S</t>
  </si>
  <si>
    <t>de-CH</t>
  </si>
  <si>
    <t>Rørfordeler med skap - komplett</t>
  </si>
  <si>
    <t>CILECCTA</t>
  </si>
  <si>
    <t>3xav80JwSHu000025QrE$V</t>
  </si>
  <si>
    <t>Eesti</t>
  </si>
  <si>
    <t>ESTONIAN</t>
  </si>
  <si>
    <t>3pTRgYws928Bj1PhY_W33g</t>
  </si>
  <si>
    <t>et-EE</t>
  </si>
  <si>
    <t>Contexts where current user is owner:</t>
  </si>
  <si>
    <t>Komplett skap og fordeler</t>
  </si>
  <si>
    <t xml:space="preserve">Cabinet with distribution manifold </t>
  </si>
  <si>
    <t>OR</t>
  </si>
  <si>
    <t>Router fordeler</t>
  </si>
  <si>
    <t>Fordelingsskap Rørfordeling</t>
  </si>
  <si>
    <t>IfcDistributionChamberElement</t>
  </si>
  <si>
    <t>IfcDistributionChamberElementTypeEnum</t>
  </si>
  <si>
    <t>VALVECHAMBER</t>
  </si>
  <si>
    <t>Kryss</t>
  </si>
  <si>
    <t>Kryss ledningsnett generelt</t>
  </si>
  <si>
    <t>Avgrening</t>
  </si>
  <si>
    <t>JUNCTION</t>
  </si>
  <si>
    <t>Pset_PipeFittingTypeJunction.JunctionType: CROSS</t>
  </si>
  <si>
    <t>UTENDØRS</t>
  </si>
  <si>
    <t>Bearbeidet terreng</t>
  </si>
  <si>
    <t>Annen terrengbearbeiding</t>
  </si>
  <si>
    <t>IfcWall</t>
  </si>
  <si>
    <t>For anvendelse når standardens øvrige inndeling på 3-sifret nivå ikke er dekkende</t>
  </si>
  <si>
    <t>IfcWallTypeEnum</t>
  </si>
  <si>
    <t>Topografisk overflate</t>
  </si>
  <si>
    <t>SHEAR</t>
  </si>
  <si>
    <t>Toposurface</t>
  </si>
  <si>
    <t>Rør</t>
  </si>
  <si>
    <t>Rør ledninger generelt</t>
  </si>
  <si>
    <t>Pipe</t>
  </si>
  <si>
    <t>IfcPipeSegment</t>
  </si>
  <si>
    <t>IfcPipeSegmentTypeEnum</t>
  </si>
  <si>
    <t>RIGIDSEGMENT</t>
  </si>
  <si>
    <t>Spunt</t>
  </si>
  <si>
    <t>Omfatter spuntvegger både permanente og midlertidige).</t>
  </si>
  <si>
    <t>Pile sheet</t>
  </si>
  <si>
    <t>IfcPile</t>
  </si>
  <si>
    <t>IfcPileConstructionEnum</t>
  </si>
  <si>
    <t>Fleksible rør</t>
  </si>
  <si>
    <t>PREFAB_STEEL</t>
  </si>
  <si>
    <t>Fleksible rør generelt</t>
  </si>
  <si>
    <t>Flexible pipe</t>
  </si>
  <si>
    <t>KZ</t>
  </si>
  <si>
    <t>Slange</t>
  </si>
  <si>
    <t>Fleksibelt rør Fleksible kanaler Kompensator Vibrasjonsdemper på rør</t>
  </si>
  <si>
    <t>FLEXIBLESEGMENT</t>
  </si>
  <si>
    <t>Støttemur bygg</t>
  </si>
  <si>
    <t>Rørfordeler (i skap) kun tur</t>
  </si>
  <si>
    <t xml:space="preserve">Distribution manifold </t>
  </si>
  <si>
    <t>Rørfordeling</t>
  </si>
  <si>
    <t>Rørfordeler (i skap) tur og retur (gulvvarme)</t>
  </si>
  <si>
    <t>Kun fordelerstokk f.eks. 5+5 8+8 12+12 kurser</t>
  </si>
  <si>
    <t>Pelefundamentering</t>
  </si>
  <si>
    <t>Omfatter pele og pilarer med tilhørende fundamenter</t>
  </si>
  <si>
    <t>Forankringsbolt</t>
  </si>
  <si>
    <t>Forankringsbolter fjell</t>
  </si>
  <si>
    <t>Bolt foundation anchor</t>
  </si>
  <si>
    <t>Utendørs konstruksjoner</t>
  </si>
  <si>
    <t xml:space="preserve">Stakeluke </t>
  </si>
  <si>
    <t>Støttemurer og andre murer</t>
  </si>
  <si>
    <t>IfcMechanicalFastener</t>
  </si>
  <si>
    <t>Cleanout with plug</t>
  </si>
  <si>
    <t>IfcMechanicalFastenerTypeEnum</t>
  </si>
  <si>
    <t>DL</t>
  </si>
  <si>
    <t>ANCHORBOLT</t>
  </si>
  <si>
    <t>Luke</t>
  </si>
  <si>
    <t>FK</t>
  </si>
  <si>
    <t>Kjølerom / Svalrom</t>
  </si>
  <si>
    <t>IfcBuildingElementProxy</t>
  </si>
  <si>
    <t>Grunndrager</t>
  </si>
  <si>
    <t>Footing beam</t>
  </si>
  <si>
    <t>AB</t>
  </si>
  <si>
    <t>Bjelke</t>
  </si>
  <si>
    <t>Bjelker Drager Dip Bæring</t>
  </si>
  <si>
    <t>IfcFooting</t>
  </si>
  <si>
    <t>IfcFootingTypeEnum</t>
  </si>
  <si>
    <t>FOOTING_BEAM</t>
  </si>
  <si>
    <t>Prefabrikerte fryserom</t>
  </si>
  <si>
    <t>Pelehode</t>
  </si>
  <si>
    <t>Pile cap</t>
  </si>
  <si>
    <t>AH</t>
  </si>
  <si>
    <t>Renseluke</t>
  </si>
  <si>
    <t>PILE_CAP</t>
  </si>
  <si>
    <t>Inklusive støyskjermer utført som voll/mur. Inklusive nødvendig graving fundamenter og gjenfylling.</t>
  </si>
  <si>
    <t>Prefabrikerte baderom</t>
  </si>
  <si>
    <t>Støttemur terreng</t>
  </si>
  <si>
    <t>Vegg</t>
  </si>
  <si>
    <t>Wall</t>
  </si>
  <si>
    <t>Norsk Bokmål</t>
  </si>
  <si>
    <t>NORWEGIAN</t>
  </si>
  <si>
    <t>3vvsNwoT0Hsm00051Mm008</t>
  </si>
  <si>
    <t>nb-NO</t>
  </si>
  <si>
    <t>Vegg Gabion</t>
  </si>
  <si>
    <t>Wall Gabione</t>
  </si>
  <si>
    <t>Power cable conduit pipe</t>
  </si>
  <si>
    <t>Vegg Murt</t>
  </si>
  <si>
    <t>IFC 2x2</t>
  </si>
  <si>
    <t>Wall Brick</t>
  </si>
  <si>
    <t>INSPECTIONCHAMBER</t>
  </si>
  <si>
    <t>avstivende vegg</t>
  </si>
  <si>
    <t>Omfatter andre avstivninger både permanente og midlertidige</t>
  </si>
  <si>
    <t>retaining wall</t>
  </si>
  <si>
    <t>IfcCableSegmentTypeEnum</t>
  </si>
  <si>
    <t>CONDUCTORSEGMENT</t>
  </si>
  <si>
    <t>T-kryss</t>
  </si>
  <si>
    <t>3vvsO4oT0Hsm00051Mm008</t>
  </si>
  <si>
    <t>ifc-2X2</t>
  </si>
  <si>
    <t>T-kryss generelt</t>
  </si>
  <si>
    <t>Tee</t>
  </si>
  <si>
    <t>Bend kabelføring</t>
  </si>
  <si>
    <t>Norsk Nynorsk</t>
  </si>
  <si>
    <t>Kabelbend</t>
  </si>
  <si>
    <t>Power cable conduit fitting</t>
  </si>
  <si>
    <t>3vvsOEoT0Hsm00051Mm008</t>
  </si>
  <si>
    <t>KK</t>
  </si>
  <si>
    <t>nn-NO</t>
  </si>
  <si>
    <t>Kanal</t>
  </si>
  <si>
    <t>Ventilasjon- og el.kanaler Metallkanal Plastkanal Kunststoffkanal Kabelkanal Installasjonskanal Sykeromskanal</t>
  </si>
  <si>
    <t>IfcCableCarrierFitting</t>
  </si>
  <si>
    <t>IfcCableCarrierFittingTypeEnum</t>
  </si>
  <si>
    <t>International English</t>
  </si>
  <si>
    <t>Kryss kabelføring</t>
  </si>
  <si>
    <t>3vvsOOoT0Hsm00051Mm008</t>
  </si>
  <si>
    <t>Kabelkryss X-kryss</t>
  </si>
  <si>
    <t>en</t>
  </si>
  <si>
    <t>Peler</t>
  </si>
  <si>
    <t>Pile</t>
  </si>
  <si>
    <t>AK</t>
  </si>
  <si>
    <t>Komplette konstruksjoner</t>
  </si>
  <si>
    <t>Prefabrikerte skjermrom</t>
  </si>
  <si>
    <t>Komplette enheter Bygningsmessige konstruksjoner Store bygningsmessige bærekonstruksjoner</t>
  </si>
  <si>
    <t>Pset_PipeFittingTypeJunction.JunctionType: TEE</t>
  </si>
  <si>
    <t>Vegg Plasstøpt</t>
  </si>
  <si>
    <t>Wall In-situ concrete</t>
  </si>
  <si>
    <t>Utstyr</t>
  </si>
  <si>
    <t>Direkte fundamentering</t>
  </si>
  <si>
    <t>Omfatter fundamenter for eksempel såle og banketter</t>
  </si>
  <si>
    <t>CROSS</t>
  </si>
  <si>
    <t>Buffertank temperaturutjevning</t>
  </si>
  <si>
    <t>Platefundament</t>
  </si>
  <si>
    <t>Temperaturutjevningstank</t>
  </si>
  <si>
    <t>Platefundament alt. såle</t>
  </si>
  <si>
    <t>NT</t>
  </si>
  <si>
    <t xml:space="preserve">Slab base </t>
  </si>
  <si>
    <t>Rom for elektromagnetisk skjerming av følsomt elektronisk utstyr. Inkluderer tekniske installasjoner i spesifisert omfang.</t>
  </si>
  <si>
    <t>Prefabrikerte sjakter</t>
  </si>
  <si>
    <t>Deutsch Deutschland</t>
  </si>
  <si>
    <t>stålspunt stålspuntnål</t>
  </si>
  <si>
    <t>3vvsOYoT0Hsm00051Mm008</t>
  </si>
  <si>
    <t>IfcSlab</t>
  </si>
  <si>
    <t>de-DE</t>
  </si>
  <si>
    <t>Contexts where current user can edit:</t>
  </si>
  <si>
    <t>Nederlands</t>
  </si>
  <si>
    <t>DUTCH</t>
  </si>
  <si>
    <t>3vvsOioT0Hsm00051Mm008</t>
  </si>
  <si>
    <t>nl-NL</t>
  </si>
  <si>
    <t>Tank med trykk</t>
  </si>
  <si>
    <t>IfcTank</t>
  </si>
  <si>
    <t>IfcTankTypeEnum</t>
  </si>
  <si>
    <t>Français</t>
  </si>
  <si>
    <t>PRESSUREVESSEL</t>
  </si>
  <si>
    <t>FRENCH</t>
  </si>
  <si>
    <t>T-kryss kabelføring</t>
  </si>
  <si>
    <t>3vvsOsoT0Hsm00051Mm008</t>
  </si>
  <si>
    <t>Kabelkryss T-kryss</t>
  </si>
  <si>
    <t>fr-FR</t>
  </si>
  <si>
    <t>Svenska</t>
  </si>
  <si>
    <t>Vegg Prefab</t>
  </si>
  <si>
    <t>Buffertank trykkutjevning</t>
  </si>
  <si>
    <t>Wall Pre-fab</t>
  </si>
  <si>
    <t>Trykkutjevningstank</t>
  </si>
  <si>
    <t>Vegg Spunt</t>
  </si>
  <si>
    <t>SWEDISH</t>
  </si>
  <si>
    <t>Spuntvegger både permanente og midlertidige.</t>
  </si>
  <si>
    <t>3vvsP0oT0Hsm00051Mm008</t>
  </si>
  <si>
    <t>steel sheet pile</t>
  </si>
  <si>
    <t>sv-SE</t>
  </si>
  <si>
    <t>US English</t>
  </si>
  <si>
    <t>3vvsPAoT0Hsm00051Mm008</t>
  </si>
  <si>
    <t>en-US</t>
  </si>
  <si>
    <t>Português do Brasil</t>
  </si>
  <si>
    <t>PORTUGUESE</t>
  </si>
  <si>
    <t>3vvsPUoT0Hsm00051Mm008</t>
  </si>
  <si>
    <t>pt-BR</t>
  </si>
  <si>
    <t>Contexts where current user has read access:</t>
  </si>
  <si>
    <t>Suomi</t>
  </si>
  <si>
    <t>FINNISH</t>
  </si>
  <si>
    <t>Kompensator</t>
  </si>
  <si>
    <t>3vvsPeoT0Hsm00051Mm008</t>
  </si>
  <si>
    <t>fi-FI</t>
  </si>
  <si>
    <t>TEE</t>
  </si>
  <si>
    <t>日本語</t>
  </si>
  <si>
    <t>Andre prefabrikerte rom</t>
  </si>
  <si>
    <t>JAPANESE</t>
  </si>
  <si>
    <t>IfcSlabTypeEnum</t>
  </si>
  <si>
    <t>3vvsPyoT0Hsm00051Mm008</t>
  </si>
  <si>
    <t>BASESLAB</t>
  </si>
  <si>
    <t>ja-JP</t>
  </si>
  <si>
    <t>Tar opp ekspansjon</t>
  </si>
  <si>
    <t>Overgang kabelføring</t>
  </si>
  <si>
    <t>Kabelføring dimensjonsovergang</t>
  </si>
  <si>
    <t>Sheet piling</t>
  </si>
  <si>
    <t>REDUCER</t>
  </si>
  <si>
    <t>Luftepotte</t>
  </si>
  <si>
    <t>På topp av rørnett for å få ut luft</t>
  </si>
  <si>
    <t>ML</t>
  </si>
  <si>
    <t>Luftutskiller</t>
  </si>
  <si>
    <t>IfcValve</t>
  </si>
  <si>
    <t>IfcValveTypeEnum</t>
  </si>
  <si>
    <t>AIRRELEASE</t>
  </si>
  <si>
    <t>Punktfundamenter</t>
  </si>
  <si>
    <t>Fundament for søyle</t>
  </si>
  <si>
    <t>Footing pad</t>
  </si>
  <si>
    <t>støttemur</t>
  </si>
  <si>
    <t>PAD_FOOTING</t>
  </si>
  <si>
    <t>Stripefundament</t>
  </si>
  <si>
    <t>Stripefundament alt. bankett (underliggende vegg)</t>
  </si>
  <si>
    <t>Mikrobobleutskiller</t>
  </si>
  <si>
    <t>Person- og varetransport</t>
  </si>
  <si>
    <t>Samme i ledningsnettet i teknisk rom</t>
  </si>
  <si>
    <t>Heiser</t>
  </si>
  <si>
    <t>Personheiser sengeheiser og kombinerte person og vareheiser.</t>
  </si>
  <si>
    <t>Heis</t>
  </si>
  <si>
    <t>Elevator</t>
  </si>
  <si>
    <t>KH</t>
  </si>
  <si>
    <t>Transportenhet (hevende forflyttende)</t>
  </si>
  <si>
    <t>Heisstol Heiskurv Bånd for: Transportbånd Rulletrapper Rullebånd</t>
  </si>
  <si>
    <t>IfcTransportElement</t>
  </si>
  <si>
    <t>IfcTransportElementTypeEnum</t>
  </si>
  <si>
    <t>ELEVATOR</t>
  </si>
  <si>
    <t>Footing strip foundation</t>
  </si>
  <si>
    <t>Rulletrapper</t>
  </si>
  <si>
    <t>Gulvboks innstøpt</t>
  </si>
  <si>
    <t>Rulletrapp</t>
  </si>
  <si>
    <t>Floor box encased</t>
  </si>
  <si>
    <t>IfcJunctionBox</t>
  </si>
  <si>
    <t>IfcJunctionBoxTypeEnum</t>
  </si>
  <si>
    <t>POWER</t>
  </si>
  <si>
    <t>Gulvkanal innstøpt</t>
  </si>
  <si>
    <t>Floor cable cover encased</t>
  </si>
  <si>
    <t>STRIP_FOOTING</t>
  </si>
  <si>
    <t>Vegg Stablet</t>
  </si>
  <si>
    <t>Utstyr og komplettering</t>
  </si>
  <si>
    <t>Wall Stacked</t>
  </si>
  <si>
    <t>Omfatter delprodukter som er en del av grunn og fundamenter men som ikke inngår i bygningsdelene over.</t>
  </si>
  <si>
    <t>Isolasjon fundament</t>
  </si>
  <si>
    <t>Isolasjon for fundament</t>
  </si>
  <si>
    <t>Insulation foundation</t>
  </si>
  <si>
    <t>BI</t>
  </si>
  <si>
    <t>Trapper og ramper i terreng</t>
  </si>
  <si>
    <t>Inklusive nødvendig graving fundamenter og gjenfylling.Inklusive eventuelle rekkverk m.v.</t>
  </si>
  <si>
    <t>Rampe i terreng</t>
  </si>
  <si>
    <t>Ramp in terrain</t>
  </si>
  <si>
    <t>Isolasjon</t>
  </si>
  <si>
    <t>Glassull Mineralull</t>
  </si>
  <si>
    <t>IfcCovering</t>
  </si>
  <si>
    <t>IfcCoveringTypeEnum</t>
  </si>
  <si>
    <t>CABLETRUNKINGSEGMENT</t>
  </si>
  <si>
    <t>INSULATION</t>
  </si>
  <si>
    <t>Ringmur</t>
  </si>
  <si>
    <t>Kabelbro</t>
  </si>
  <si>
    <t>Cable tray</t>
  </si>
  <si>
    <t>Foundation wall</t>
  </si>
  <si>
    <t>Escalator</t>
  </si>
  <si>
    <t>ESCALATOR</t>
  </si>
  <si>
    <t>Rullebånd</t>
  </si>
  <si>
    <t>For persontransport.</t>
  </si>
  <si>
    <t>Kabelkanal</t>
  </si>
  <si>
    <t>Cable duct</t>
  </si>
  <si>
    <t>Flow segment</t>
  </si>
  <si>
    <t>Moving Walkway</t>
  </si>
  <si>
    <t>Tilbakeslagsventil</t>
  </si>
  <si>
    <t>Fjærbelastet (luft??)</t>
  </si>
  <si>
    <t>MOVINGWALKWAY</t>
  </si>
  <si>
    <t>SG</t>
  </si>
  <si>
    <t>Tilbakeslagsventil / overtrykksspjeld</t>
  </si>
  <si>
    <t>Trapp i terreng</t>
  </si>
  <si>
    <t>Søylesokkel</t>
  </si>
  <si>
    <t>Footing</t>
  </si>
  <si>
    <t>Bæresystemer</t>
  </si>
  <si>
    <t>Søyler</t>
  </si>
  <si>
    <t>Støpte pilastere inngår i 231 eller 241</t>
  </si>
  <si>
    <t>Pilaster</t>
  </si>
  <si>
    <t>forankringsbolt</t>
  </si>
  <si>
    <t>Column</t>
  </si>
  <si>
    <t>Trapp utvendig</t>
  </si>
  <si>
    <t>Stair external</t>
  </si>
  <si>
    <t>AS</t>
  </si>
  <si>
    <t>bolt foundation anchor</t>
  </si>
  <si>
    <t>Søyle</t>
  </si>
  <si>
    <t>Bærende stolper</t>
  </si>
  <si>
    <t>IfcColumn</t>
  </si>
  <si>
    <t>IfcColumnTypeEnum</t>
  </si>
  <si>
    <t>PILASTER</t>
  </si>
  <si>
    <t>CHECK</t>
  </si>
  <si>
    <t>Terrengtrapp</t>
  </si>
  <si>
    <t>Løftebord</t>
  </si>
  <si>
    <t>Spesielle løftebord for scener se 643.</t>
  </si>
  <si>
    <t>Vakuumutskiller</t>
  </si>
  <si>
    <t>Trappeheiser</t>
  </si>
  <si>
    <t>COLUMN</t>
  </si>
  <si>
    <t>Trappeheis</t>
  </si>
  <si>
    <t>Eseltrapp</t>
  </si>
  <si>
    <t>Stair</t>
  </si>
  <si>
    <t>Fjær</t>
  </si>
  <si>
    <t>Vibrasjonsdemper</t>
  </si>
  <si>
    <t>IfcVibrationIsolator</t>
  </si>
  <si>
    <t>IfcVibrationIsolatorTypeEnum</t>
  </si>
  <si>
    <t>SPRING</t>
  </si>
  <si>
    <t>Kabelstige</t>
  </si>
  <si>
    <t>Cable ladder</t>
  </si>
  <si>
    <t>Bjelker</t>
  </si>
  <si>
    <t>Kraner</t>
  </si>
  <si>
    <t>Støpte T-bjelker inngår i 251</t>
  </si>
  <si>
    <t>Traverskraner elektrotaljer m.v.</t>
  </si>
  <si>
    <t>Kran</t>
  </si>
  <si>
    <t>Craneway</t>
  </si>
  <si>
    <t>HT</t>
  </si>
  <si>
    <t>CRANEWAY</t>
  </si>
  <si>
    <t>Beam</t>
  </si>
  <si>
    <t>CABLELADDERSEGMENT</t>
  </si>
  <si>
    <t>IfcBeam</t>
  </si>
  <si>
    <t>Amfi</t>
  </si>
  <si>
    <t>Kanal elkraft</t>
  </si>
  <si>
    <t>Kanal for elektro</t>
  </si>
  <si>
    <t>Cable duct electric</t>
  </si>
  <si>
    <t>grunndrager</t>
  </si>
  <si>
    <t>Gjerder porter og bommer</t>
  </si>
  <si>
    <t>Inklusive støyskjermer utført som tett gjerde/vegg. Inklusive nødvendig graving fundamenter og gjenfylling. Sikkerhetsrekkverk (guard-rail) se 764.</t>
  </si>
  <si>
    <t>Gjerde</t>
  </si>
  <si>
    <t>Kanal innfelt</t>
  </si>
  <si>
    <t>Fence</t>
  </si>
  <si>
    <t>Cable duct inserted</t>
  </si>
  <si>
    <t>Talje</t>
  </si>
  <si>
    <t>Andre utendørs konstruksjoner</t>
  </si>
  <si>
    <t>LIFTINGGEAR</t>
  </si>
  <si>
    <t>Dekke utendørs</t>
  </si>
  <si>
    <t>Floor</t>
  </si>
  <si>
    <t>Fasade- og takvask</t>
  </si>
  <si>
    <t>Omfatter atkomstsystemer for renhold m.v. av fasader og glasstak inklusive driv- og styresystemer.</t>
  </si>
  <si>
    <t>Fasadeheis</t>
  </si>
  <si>
    <t>footing beam</t>
  </si>
  <si>
    <t>Dekkekant utendørs</t>
  </si>
  <si>
    <t>Omfatter avstivning for horisontalt virkende laster.</t>
  </si>
  <si>
    <t>Kanal på vegg</t>
  </si>
  <si>
    <t>Cable duct wall mounted</t>
  </si>
  <si>
    <t>Fagverksdrager</t>
  </si>
  <si>
    <t>COMPRESSION</t>
  </si>
  <si>
    <t>Fagverksdrager alt. gitterdrager</t>
  </si>
  <si>
    <t>Beam framework</t>
  </si>
  <si>
    <t>AF</t>
  </si>
  <si>
    <t xml:space="preserve">Stålarmert gummislange </t>
  </si>
  <si>
    <t>Fagverk</t>
  </si>
  <si>
    <t>Bindingsverk Stenderverk Rigler Rigel</t>
  </si>
  <si>
    <t>Mast med veggfeste</t>
  </si>
  <si>
    <t>Pylon with wall fastening</t>
  </si>
  <si>
    <t>KM</t>
  </si>
  <si>
    <t>Slab Edge</t>
  </si>
  <si>
    <t>Mast / Antenne</t>
  </si>
  <si>
    <t>IfcElementAssembly</t>
  </si>
  <si>
    <t>Stolpe Stang</t>
  </si>
  <si>
    <t>IfcCommunicationsAppliance</t>
  </si>
  <si>
    <t>IfcCommunicationsApplianceTypeEnum</t>
  </si>
  <si>
    <t>ANTENNA</t>
  </si>
  <si>
    <t>IfcElementAssemblyTypeEnum</t>
  </si>
  <si>
    <t>TRUSS</t>
  </si>
  <si>
    <t>Alt. truss</t>
  </si>
  <si>
    <t>USERDEFINED</t>
  </si>
  <si>
    <t>pelehode</t>
  </si>
  <si>
    <t>pile cap</t>
  </si>
  <si>
    <t>Fundamentering</t>
  </si>
  <si>
    <t>Structural foundation</t>
  </si>
  <si>
    <t>Sanitæranlegg</t>
  </si>
  <si>
    <t>Bunnledninger for sanitærinstallasjoner</t>
  </si>
  <si>
    <t>Ledninger i grunnen under gulv.</t>
  </si>
  <si>
    <t>Utendørsrøranlegg</t>
  </si>
  <si>
    <t>Bend bunnledning sanitær</t>
  </si>
  <si>
    <t>Utvendørs VA</t>
  </si>
  <si>
    <t>Omfatter delprodukter som er en del av yttervegg men som ikke inngår i bygningsdelene over.</t>
  </si>
  <si>
    <t>Anlegg for vannforsyning spillvann og for bortledning av overflatevann fra taknedløp veier og plasser inklusive nødvendige renner og sluk. Kanaler og kulverter se 726. Kummer se 727.</t>
  </si>
  <si>
    <t>Avstivende konstruksjoner</t>
  </si>
  <si>
    <t>Fasadevask hengestillas</t>
  </si>
  <si>
    <t>Brannhydrant</t>
  </si>
  <si>
    <t>Fire Hydrant</t>
  </si>
  <si>
    <t>Skråstag</t>
  </si>
  <si>
    <t>Skråstag. Avstiver konstruktsjon.</t>
  </si>
  <si>
    <t>Bracing</t>
  </si>
  <si>
    <t>Fasadevask monorail m/ løpekatt</t>
  </si>
  <si>
    <t>Brønn</t>
  </si>
  <si>
    <t>Energibrønn mm</t>
  </si>
  <si>
    <t>Kum</t>
  </si>
  <si>
    <t>Nedføringsstav</t>
  </si>
  <si>
    <t>Grenstav</t>
  </si>
  <si>
    <t>Service pole</t>
  </si>
  <si>
    <t>IfcTendon</t>
  </si>
  <si>
    <t>Kumlokk</t>
  </si>
  <si>
    <t>Enten strekkstag eller rigid element</t>
  </si>
  <si>
    <t>Forbindelsesledd sanitær i grunn</t>
  </si>
  <si>
    <t>Nedfelt renne</t>
  </si>
  <si>
    <t>Brannbeskyttelse av bærende konstruksjoner</t>
  </si>
  <si>
    <t>Omfatter brannisolering påføring av brannhemmende maling m.m.</t>
  </si>
  <si>
    <t>pele</t>
  </si>
  <si>
    <t>Brannisolasjon</t>
  </si>
  <si>
    <t>Kabelgjennomføring</t>
  </si>
  <si>
    <t>pile</t>
  </si>
  <si>
    <t>Insulation Fire</t>
  </si>
  <si>
    <t>Cable bushing</t>
  </si>
  <si>
    <t>QZ</t>
  </si>
  <si>
    <t>Brannvern</t>
  </si>
  <si>
    <t>Mekanisk eller bygningsmessig brannbeskyttelse. Brannisolasjon Branntetting Branntetning Røyktetting Røyktetning.</t>
  </si>
  <si>
    <t>Kledning og overflate</t>
  </si>
  <si>
    <t>Omfatter ikke det som inngår i 225.</t>
  </si>
  <si>
    <t>Kledning</t>
  </si>
  <si>
    <t>Covering</t>
  </si>
  <si>
    <t>platefundament</t>
  </si>
  <si>
    <t>base slab</t>
  </si>
  <si>
    <t>Renne VA</t>
  </si>
  <si>
    <t>Rør VA</t>
  </si>
  <si>
    <t>Plumbing Fixtures pipe</t>
  </si>
  <si>
    <t>Rørkobling VA</t>
  </si>
  <si>
    <t>Plumbing Fixtures joint</t>
  </si>
  <si>
    <t>Kryss bunnledning</t>
  </si>
  <si>
    <t>Kryss i bunnledninger sanitær</t>
  </si>
  <si>
    <t>Cross plumbing under ground</t>
  </si>
  <si>
    <t>EB</t>
  </si>
  <si>
    <t>Overflatebekledning</t>
  </si>
  <si>
    <t>Veggbelegg Gulvbelegg Banebelegg Vinylbelegg Linoleum Tepper Matter Dørmatter Fliser Skifer Stein Tregulv Parkett Panel Baderomspanel Rørmantling Takpapp Beslag (blikk stål aluminium)</t>
  </si>
  <si>
    <t>KG</t>
  </si>
  <si>
    <t>Gjennomføring</t>
  </si>
  <si>
    <t>Hylse</t>
  </si>
  <si>
    <t>IfcCableSegment</t>
  </si>
  <si>
    <t>Sluk VA</t>
  </si>
  <si>
    <t>Drain</t>
  </si>
  <si>
    <t>Vannpost</t>
  </si>
  <si>
    <t>Water Dispenser</t>
  </si>
  <si>
    <t>CLADDING</t>
  </si>
  <si>
    <t>Veger og plasser</t>
  </si>
  <si>
    <t>Plasser</t>
  </si>
  <si>
    <t>Parkeringsplasser lekeplasser balløkker m.v. Utstyr for lekeplasser se 774.</t>
  </si>
  <si>
    <t>Parkering</t>
  </si>
  <si>
    <t>Parking</t>
  </si>
  <si>
    <t>Rørgjennomføring i fasade</t>
  </si>
  <si>
    <t>Pipe bushing in facade</t>
  </si>
  <si>
    <t>Omfatter delprodukter som er en del av bæresystemet men som ikke inngår i bygningsdelene over.</t>
  </si>
  <si>
    <t>Brakett bæresystem</t>
  </si>
  <si>
    <t>Innstøpningsbrakett</t>
  </si>
  <si>
    <t>Pset_CableSegmentTypeBusBarSegment.IsHorizontalBusbar: TRUE</t>
  </si>
  <si>
    <t>Rør bunnledning sanitær</t>
  </si>
  <si>
    <t>Parker og hager</t>
  </si>
  <si>
    <t>punktfundament</t>
  </si>
  <si>
    <t>Beplantning</t>
  </si>
  <si>
    <t>Systemer for jording</t>
  </si>
  <si>
    <t>pad footing</t>
  </si>
  <si>
    <t>Jordelektrode jordledere jordskinner ekvipotensialforbindelser og utjevningsforbindelser.</t>
  </si>
  <si>
    <t>Alarmtablå for isoalsjonsfeil</t>
  </si>
  <si>
    <t>Alarm panel for electrical isolation faults</t>
  </si>
  <si>
    <t>Blomsterbed busker og trær</t>
  </si>
  <si>
    <t>RE</t>
  </si>
  <si>
    <t>Elektriske variabler</t>
  </si>
  <si>
    <t>Planting</t>
  </si>
  <si>
    <t>Effektmåler Strømmåler Spenningsmåler Intensitet Måletrafo</t>
  </si>
  <si>
    <t>IfcUnitaryControlElement</t>
  </si>
  <si>
    <t>IfcUnitaryControlElementTypeEnum</t>
  </si>
  <si>
    <t>ALARMPANEL</t>
  </si>
  <si>
    <t>T-kryss bunnledning sanitær</t>
  </si>
  <si>
    <t>Benker lekeapparater flaggstenger utsmykning (skulpturer) m.v.</t>
  </si>
  <si>
    <t>Lekeapparat fast</t>
  </si>
  <si>
    <t>Bracket</t>
  </si>
  <si>
    <t>Playground equipment fixed</t>
  </si>
  <si>
    <t>AR</t>
  </si>
  <si>
    <t>Ramme / Oppheng</t>
  </si>
  <si>
    <t>Rammeverk. For bygningsmessige konstruksjoner: Montasjerammer Stativ Braketter Opphengsskinner Festeprofil Stålprofil Baner Barduner Stag Fundamenter Små bærekonstruksjoner</t>
  </si>
  <si>
    <t>IfcDiscreteAccessoryTypeEnum</t>
  </si>
  <si>
    <t>Møblering</t>
  </si>
  <si>
    <t>Forbindelsesledd jording</t>
  </si>
  <si>
    <t>Furniture</t>
  </si>
  <si>
    <t>Ekvipotensialforbindelser og utjevningsforbindelser</t>
  </si>
  <si>
    <t>Joint earth protection</t>
  </si>
  <si>
    <t>Ledningsnett for sanitærin-stallasjoner (over grunnen)</t>
  </si>
  <si>
    <t>Alle ledninger over grunnen.</t>
  </si>
  <si>
    <t>IfcCableFitting</t>
  </si>
  <si>
    <t>IfcCableFittingTypeEnum</t>
  </si>
  <si>
    <t>Bend sanitær</t>
  </si>
  <si>
    <t>Sportsinventar fast</t>
  </si>
  <si>
    <t>sport equipment fixed</t>
  </si>
  <si>
    <t>Dybel</t>
  </si>
  <si>
    <t xml:space="preserve">CONNECTOR </t>
  </si>
  <si>
    <t>stripefundament</t>
  </si>
  <si>
    <t>Dowel</t>
  </si>
  <si>
    <t>strip footing strip foundation</t>
  </si>
  <si>
    <t>Durgo ventil</t>
  </si>
  <si>
    <t>DOWEL</t>
  </si>
  <si>
    <t>På topp av avløpsrør</t>
  </si>
  <si>
    <t>SU</t>
  </si>
  <si>
    <t>Jordledere</t>
  </si>
  <si>
    <t>Sugetrykksventil</t>
  </si>
  <si>
    <t>KS</t>
  </si>
  <si>
    <t>Skinne / Bane / Spor</t>
  </si>
  <si>
    <t>Strømskinner Transportskinner Gardinskinner gardinstang Jordingsskinne</t>
  </si>
  <si>
    <t>Jordelektrode</t>
  </si>
  <si>
    <t>Earth protection electrode conductor bar</t>
  </si>
  <si>
    <t>XX</t>
  </si>
  <si>
    <t>Rekkeklemmer / Samlesignal</t>
  </si>
  <si>
    <t>Koblingspunkt Fellesfeil Felles driftsignal Potensialfrie signaler Synkroniseringspuls</t>
  </si>
  <si>
    <t>isolasjon for fundament</t>
  </si>
  <si>
    <t>Jordingspunkt</t>
  </si>
  <si>
    <t>insulation for foundation</t>
  </si>
  <si>
    <t>ANTIVACUUM</t>
  </si>
  <si>
    <t>Earth point</t>
  </si>
  <si>
    <t>BUSBARSEGMENT</t>
  </si>
  <si>
    <t>Jordskinne</t>
  </si>
  <si>
    <t>Earth bar</t>
  </si>
  <si>
    <t xml:space="preserve">Fotplate </t>
  </si>
  <si>
    <t>Systemer for lynvern</t>
  </si>
  <si>
    <t>Alt materiell til lynavledersystem. Grovvern og finvern mot overspenninger inngår i fordelinger se 432 og 433. Jordelektrode se 412.</t>
  </si>
  <si>
    <t>Lynavleder</t>
  </si>
  <si>
    <t>Forbindelsesledd sanitær</t>
  </si>
  <si>
    <t>Lightning arrester / Lightning discharger</t>
  </si>
  <si>
    <t>QY</t>
  </si>
  <si>
    <t>ringmur</t>
  </si>
  <si>
    <t>foundation wall</t>
  </si>
  <si>
    <t>Kryss sanitær</t>
  </si>
  <si>
    <t>Kryss i sanitærinstallasjon over grunn</t>
  </si>
  <si>
    <t>Cross plumbing</t>
  </si>
  <si>
    <t>Delprodukter som er en del av bæresystemet</t>
  </si>
  <si>
    <t>Anchor plate</t>
  </si>
  <si>
    <t>Luftehatt</t>
  </si>
  <si>
    <t>Takhatt for utlufting av spillvannsledning</t>
  </si>
  <si>
    <t>Roof hood?</t>
  </si>
  <si>
    <t>søylesokkel</t>
  </si>
  <si>
    <t>MR</t>
  </si>
  <si>
    <t>Rist / Sil</t>
  </si>
  <si>
    <t>footing</t>
  </si>
  <si>
    <t>Inntaksrist Avkastrist Ytterveggrist Takhatt Jethette Slukrist Fotskraperister</t>
  </si>
  <si>
    <t>Isolasjon bæresystem</t>
  </si>
  <si>
    <t>Insulation structral bearing</t>
  </si>
  <si>
    <t>IfcStackTerminalTypeEnum</t>
  </si>
  <si>
    <t>COWL</t>
  </si>
  <si>
    <t>Systemer for elkraftuttak</t>
  </si>
  <si>
    <t>Konsoll</t>
  </si>
  <si>
    <t>Rør sanitær</t>
  </si>
  <si>
    <t>Installasjonskanaler med integrert installasjon og utstyr (f.eks. for laboratorier og sykerom). Kan omfatte installasjoner til gass trykkluft og vann. Eventuell brann- og lydisolasjon av gjennomføringer inngår.</t>
  </si>
  <si>
    <t>Installasjonsforbindelse</t>
  </si>
  <si>
    <t>Bjelkeopplegg alt. bjelkekonsoll. Hvis man ikke kan bruke søyle eller bjelke</t>
  </si>
  <si>
    <t>Corbel structural</t>
  </si>
  <si>
    <t>pilaster</t>
  </si>
  <si>
    <t>column</t>
  </si>
  <si>
    <t>Installation Fitting</t>
  </si>
  <si>
    <t>Fleksible rør sanitær</t>
  </si>
  <si>
    <t>Rør i rør</t>
  </si>
  <si>
    <t>Installasjonskanal</t>
  </si>
  <si>
    <t>Flow Segment  Installation duct</t>
  </si>
  <si>
    <t>Sengeromskanal</t>
  </si>
  <si>
    <t>Hospital bedroom duct</t>
  </si>
  <si>
    <t xml:space="preserve">Skap for rørfordeler fordelerskap </t>
  </si>
  <si>
    <t>Kun skap</t>
  </si>
  <si>
    <t>Cabinet for distribution manifold</t>
  </si>
  <si>
    <t>Mekanisk forbindelse</t>
  </si>
  <si>
    <t>FS</t>
  </si>
  <si>
    <t>Skap / skuff</t>
  </si>
  <si>
    <t>Kabinett</t>
  </si>
  <si>
    <t>Mekanisk forbindelse som bolt mutter skrue nagl</t>
  </si>
  <si>
    <t>Stikkontakt</t>
  </si>
  <si>
    <t>Mechanical Fastener</t>
  </si>
  <si>
    <t>Power outlet / Power socket / Powerpoint</t>
  </si>
  <si>
    <t>UE</t>
  </si>
  <si>
    <t>søyle generisk</t>
  </si>
  <si>
    <t>Uttak el</t>
  </si>
  <si>
    <t>IfcOutlet</t>
  </si>
  <si>
    <t>IfcOutletTypeEnum</t>
  </si>
  <si>
    <t>POWEROUTLET</t>
  </si>
  <si>
    <t>Søyle generisk modelleres av ARK i tidlig fase</t>
  </si>
  <si>
    <t>column generic</t>
  </si>
  <si>
    <t>Column generic modeles by Architect in early design stages</t>
  </si>
  <si>
    <t>Isolasjon elkraft</t>
  </si>
  <si>
    <t>T-kryss sanitær</t>
  </si>
  <si>
    <t>Sveiseplate</t>
  </si>
  <si>
    <t>Armaturer for sanitærinstallasjoner</t>
  </si>
  <si>
    <t>Sveiseplate omfatter innstøpningsplate</t>
  </si>
  <si>
    <t>Ventiler og annet tilbehør som f. eks. manometre vannmålere m.v. i ledningsnett. Armaturer inkludert i utstyrsleveranse se 315.</t>
  </si>
  <si>
    <t>Plate welding</t>
  </si>
  <si>
    <t>Insulation electrical</t>
  </si>
  <si>
    <t xml:space="preserve">Blandebatteri </t>
  </si>
  <si>
    <t>Servantbatteri</t>
  </si>
  <si>
    <t>Søylesko</t>
  </si>
  <si>
    <t>Tilbehør til elementer</t>
  </si>
  <si>
    <t>Shoe</t>
  </si>
  <si>
    <t>søyle</t>
  </si>
  <si>
    <t>SHOE</t>
  </si>
  <si>
    <t>Høyspent forsyning</t>
  </si>
  <si>
    <t>Shower mixing ***</t>
  </si>
  <si>
    <t>UB</t>
  </si>
  <si>
    <t>Yttervegger</t>
  </si>
  <si>
    <t>Servantbatterier Termostatbatterier Dusjbatterier Sanitærarmaturer</t>
  </si>
  <si>
    <t xml:space="preserve">Fordelingssystemer </t>
  </si>
  <si>
    <t>Bærende yttervegger</t>
  </si>
  <si>
    <t>Omfatter bærende vegger i betong mur bindingsverk m.m. For bærende bindingsverksvegger omfatter bygningsdelen yttervegg fra og med innvendig plate/panel til og med vindtetting (klimaskille). Utvendig kledning og overflate se 235. Innvendig overflate se 236.</t>
  </si>
  <si>
    <t>Yttervegg bærende</t>
  </si>
  <si>
    <t>Kabler</t>
  </si>
  <si>
    <t>Vegg utvendig</t>
  </si>
  <si>
    <t xml:space="preserve">Kabel </t>
  </si>
  <si>
    <t>MIXING</t>
  </si>
  <si>
    <t>Cables</t>
  </si>
  <si>
    <t>Wall external and laodbearing</t>
  </si>
  <si>
    <t>bjelke generisk</t>
  </si>
  <si>
    <t>Bjelke generisk modelleres av ARK i tidlig fase</t>
  </si>
  <si>
    <t>CABLESEGMENT</t>
  </si>
  <si>
    <t>beam generic</t>
  </si>
  <si>
    <t>AV</t>
  </si>
  <si>
    <t>Beam generic modeles by Architect in early design stages</t>
  </si>
  <si>
    <t>Blandebatteri med øyedusj</t>
  </si>
  <si>
    <t>Nettstasjoner</t>
  </si>
  <si>
    <t>Dusjbatteri Blandebatteri med øyedusj i blandebatteri</t>
  </si>
  <si>
    <t>Komplett konstruksjon</t>
  </si>
  <si>
    <t>Komplette prefabrikkerte nettstasjoner og høyspente anlegg i plassbygde nettstasjoner</t>
  </si>
  <si>
    <t>Power distribution substation</t>
  </si>
  <si>
    <t>IfcElectricDistributionBoard</t>
  </si>
  <si>
    <t>IfcElectricDistributionBoardTypeEnum</t>
  </si>
  <si>
    <t>DISTRIBUTIONBOARD:</t>
  </si>
  <si>
    <t>Pset_WallCommon.IsExternal: TRUE</t>
  </si>
  <si>
    <t xml:space="preserve">Dusj blandebatteri </t>
  </si>
  <si>
    <t>Dusjbatteri</t>
  </si>
  <si>
    <t>bjelke</t>
  </si>
  <si>
    <t>Pset_WallCommon.LoadBearing: TRUE</t>
  </si>
  <si>
    <t>beam</t>
  </si>
  <si>
    <t>Fordelerskap rør i rør</t>
  </si>
  <si>
    <t>Manifold cabinet</t>
  </si>
  <si>
    <t>Ikke bærende yttervegger</t>
  </si>
  <si>
    <t>Omfatter fra og med innvendig plate/panel til og med vindtetting (klimaskille) samt påfôringsvegger. Utvendig kledning og overflate se 235. Innvendig overflate se 236.</t>
  </si>
  <si>
    <t>Utforing dekkeforkant</t>
  </si>
  <si>
    <t>Utvendig påforing på søyle som modelleres som eget objekt</t>
  </si>
  <si>
    <t>fagverksdrager</t>
  </si>
  <si>
    <t>External wall in front of column</t>
  </si>
  <si>
    <t>Fagverksdrager gitterdrager</t>
  </si>
  <si>
    <t>beam framework truss</t>
  </si>
  <si>
    <t>Spenningstransformator</t>
  </si>
  <si>
    <t xml:space="preserve">Voltage transformer </t>
  </si>
  <si>
    <t>XT</t>
  </si>
  <si>
    <t>Transformator</t>
  </si>
  <si>
    <t>Pset_WallCommon.LoadBearing: FALSE</t>
  </si>
  <si>
    <t>Trafo Spenningstransformatorer for opp- og nedtransformering av spenning Lader</t>
  </si>
  <si>
    <t>IfcTransformer</t>
  </si>
  <si>
    <t>IfcTransformerTypeEnum</t>
  </si>
  <si>
    <t>CURRENT</t>
  </si>
  <si>
    <t>Bend stigekabel</t>
  </si>
  <si>
    <t>Cable riser bends</t>
  </si>
  <si>
    <t>Slangekran vegg</t>
  </si>
  <si>
    <t>Vannutkaster med frostfri spindel./Med spylevogn hagevann eventuelt Vannutkaster med frostfri spindel</t>
  </si>
  <si>
    <t>Water faucet</t>
  </si>
  <si>
    <t>UV</t>
  </si>
  <si>
    <t>Kryss stigekabel</t>
  </si>
  <si>
    <t>Cable riser x-intersections (tees)</t>
  </si>
  <si>
    <t>skråstag</t>
  </si>
  <si>
    <t>Skråstag. Avstiver konstruktsjon.
Enten strekkstag eller rigid element</t>
  </si>
  <si>
    <t>bracing</t>
  </si>
  <si>
    <t>T-kryss stigekabel</t>
  </si>
  <si>
    <t>Uttak vann</t>
  </si>
  <si>
    <t>Vannuttak Tappested Vannkran Vannutkaster</t>
  </si>
  <si>
    <t>FAUCET</t>
  </si>
  <si>
    <t>Cable riser T-intersection</t>
  </si>
  <si>
    <t>Stengeventil kule</t>
  </si>
  <si>
    <t>Kuleventil</t>
  </si>
  <si>
    <t>Ball valve</t>
  </si>
  <si>
    <t>Utforing søyleforkant</t>
  </si>
  <si>
    <t>SM</t>
  </si>
  <si>
    <t>Stengeventil manuell</t>
  </si>
  <si>
    <t>System for hovedfordeling</t>
  </si>
  <si>
    <t>ISOLATING</t>
  </si>
  <si>
    <t>Omfatter hovedtavle eller hovedfordeling og stigekabler.</t>
  </si>
  <si>
    <t>Pset_ValveTypeCommon.ValveMechanism: BALL</t>
  </si>
  <si>
    <t>Overgang stigekabel</t>
  </si>
  <si>
    <t>Cable riser reducer</t>
  </si>
  <si>
    <t>brannisolasjon</t>
  </si>
  <si>
    <t>insulation fire</t>
  </si>
  <si>
    <t>Stengeventil spjeld</t>
  </si>
  <si>
    <t>Spjeldventil</t>
  </si>
  <si>
    <t>Butterfly valve</t>
  </si>
  <si>
    <t>Hovedtavle hovedfordeling</t>
  </si>
  <si>
    <t>Main distribution Board</t>
  </si>
  <si>
    <t>Pset_ValveTypeCommon.ValveMechanism: BUTTERFLY</t>
  </si>
  <si>
    <t xml:space="preserve">Flow Controller </t>
  </si>
  <si>
    <t>XG</t>
  </si>
  <si>
    <t>Komponenter for krafttilførsel</t>
  </si>
  <si>
    <t>Spenningsmodul Strømtilførsel Strømforsyningsenhet Nettdel Powesupply. I tavle også: Batteri</t>
  </si>
  <si>
    <t>DISTRIBUTIONBOARD</t>
  </si>
  <si>
    <t>Stengeventil sluse ratt</t>
  </si>
  <si>
    <t>Sluseventil med ratt</t>
  </si>
  <si>
    <t>Gate valve</t>
  </si>
  <si>
    <t>Stigekabler</t>
  </si>
  <si>
    <t>Cable Riser</t>
  </si>
  <si>
    <t>kledning</t>
  </si>
  <si>
    <t>Flow Segment</t>
  </si>
  <si>
    <t>IfcCabelSegment</t>
  </si>
  <si>
    <t>covering</t>
  </si>
  <si>
    <t>Pset_CableSegmentTypeBusBarSegment.IsHorizontalBusbar: FALSE</t>
  </si>
  <si>
    <t>Stengeventil sluse hendel</t>
  </si>
  <si>
    <t>Sluseventil med hendel</t>
  </si>
  <si>
    <t>Strømskinne</t>
  </si>
  <si>
    <t>Pset_ValveTypeCommon.Valveoperation: LEVER</t>
  </si>
  <si>
    <t>Bus duct / Power Rail uninterruptible / no-break</t>
  </si>
  <si>
    <t>Yttervegg ikke-bærende</t>
  </si>
  <si>
    <t>Stengeventil sluse gir</t>
  </si>
  <si>
    <t>Sluseventil med gir</t>
  </si>
  <si>
    <t>Wall external</t>
  </si>
  <si>
    <t>Gear operated gate valve</t>
  </si>
  <si>
    <t>Strømskinne avbruddsfri</t>
  </si>
  <si>
    <t>Strømskinne normalkraft</t>
  </si>
  <si>
    <t>Bus duct / Power Rail ordinary power supply</t>
  </si>
  <si>
    <t>Strømskinne nødstrøm</t>
  </si>
  <si>
    <t>Bus duct / Power Rail emergency power supply</t>
  </si>
  <si>
    <t>brakett bæresystem</t>
  </si>
  <si>
    <t>Elkraftfordeling til alminnelig forbruk</t>
  </si>
  <si>
    <t>bracket</t>
  </si>
  <si>
    <t>Krafttilførsel til lys stikkontakter direkte elvarme og normalt teleteknisk utstyr for aktuell bygningstype.</t>
  </si>
  <si>
    <t>Alarmtablå</t>
  </si>
  <si>
    <t>Alarm panel</t>
  </si>
  <si>
    <t>Stengeventil kule MS</t>
  </si>
  <si>
    <t>SC</t>
  </si>
  <si>
    <t>Stengeventil motorstyrt</t>
  </si>
  <si>
    <t>Glassfasader</t>
  </si>
  <si>
    <t>dybel</t>
  </si>
  <si>
    <t>Separat bæresystem se 22.</t>
  </si>
  <si>
    <t>Glassfasade</t>
  </si>
  <si>
    <t>dowel</t>
  </si>
  <si>
    <t>Curtain Wall</t>
  </si>
  <si>
    <t>AG</t>
  </si>
  <si>
    <t>Glassfelt</t>
  </si>
  <si>
    <t>Glass i glasstak</t>
  </si>
  <si>
    <t>IfcCurtainWall</t>
  </si>
  <si>
    <t>Pset_ValveTypeCommon.ValveOperation: MOTORIZED</t>
  </si>
  <si>
    <t>Alarmtablå gass</t>
  </si>
  <si>
    <t>Alarm panel gas</t>
  </si>
  <si>
    <t>Vinduer dører porter</t>
  </si>
  <si>
    <t>GASDETECTORPANEL</t>
  </si>
  <si>
    <t>Inkluderer:</t>
  </si>
  <si>
    <t>Dør karusell utvendig</t>
  </si>
  <si>
    <t>Bevegelsesdetektor</t>
  </si>
  <si>
    <t>Movement detector</t>
  </si>
  <si>
    <t>RB</t>
  </si>
  <si>
    <t>Bevegelse</t>
  </si>
  <si>
    <t>Bevegelsesdetektor Tilstedeværelsesdetektor IR-Detektor Infrafrød Presensføler Glassbruddsdetektor (lyd og rystelse)</t>
  </si>
  <si>
    <t>MOVEMENTSENSOR</t>
  </si>
  <si>
    <t>Bryter</t>
  </si>
  <si>
    <t>Switch</t>
  </si>
  <si>
    <t>XS</t>
  </si>
  <si>
    <t>Bryter / Vender / Knapp / Vippe</t>
  </si>
  <si>
    <t>Switch Utløserbrytere Endebryter Trykknapper Manuelle brannmeldere</t>
  </si>
  <si>
    <t>IfcSwitchingDevice</t>
  </si>
  <si>
    <t>IfcSwitchingDeviceTypeEnum</t>
  </si>
  <si>
    <t>CONTACTOR</t>
  </si>
  <si>
    <t>Gassovervåkning sentralenhet</t>
  </si>
  <si>
    <t>Central unit for gas surveillance</t>
  </si>
  <si>
    <t>Kabling el alminnelig forbruk</t>
  </si>
  <si>
    <t>Cablling electrical ordinary supply</t>
  </si>
  <si>
    <t>IfcCableSegmentTypeCableSegment.RatedVoltage: 50-1000V</t>
  </si>
  <si>
    <t>Dør utvendig</t>
  </si>
  <si>
    <t>Koblinger alminnelig forbruk</t>
  </si>
  <si>
    <t>Door revolving external</t>
  </si>
  <si>
    <t>fotplate</t>
  </si>
  <si>
    <t>DU</t>
  </si>
  <si>
    <t>anchor plate</t>
  </si>
  <si>
    <t>Flow Fitting general</t>
  </si>
  <si>
    <t>Dør - utvendig</t>
  </si>
  <si>
    <t>Utvendige Dører; Inngangsdører Utgangsdører Dører mot det fri.Ståldører Tredører Glassdører Skyvedører</t>
  </si>
  <si>
    <t>IfcDoor</t>
  </si>
  <si>
    <t>Koblingsboks</t>
  </si>
  <si>
    <t>IfcDoorTypeOperationEnum</t>
  </si>
  <si>
    <t>Junction box</t>
  </si>
  <si>
    <t>REVOLVING</t>
  </si>
  <si>
    <t>Pset_DoorCommon.IsExternal: TRUE</t>
  </si>
  <si>
    <t>Tablå</t>
  </si>
  <si>
    <t>Melde alarm</t>
  </si>
  <si>
    <t>UK</t>
  </si>
  <si>
    <t>Kontrollpanel / Tablå</t>
  </si>
  <si>
    <t>Betjeningspanel Instrumentpanel Styringspanel Betjeningstablå Brannmannspanel Betjeningsterminal Driftsterminal Manøverbord</t>
  </si>
  <si>
    <t>- Blindkarm tetting utfôringer belistning lås og beslag;</t>
  </si>
  <si>
    <t>- eventuelle persienner montert mellom vindusglass;</t>
  </si>
  <si>
    <t>- sålebenkbeslag vannbrettbeslag og bygningsbeslag;</t>
  </si>
  <si>
    <t>Multiuttak 3P (kun 230V)</t>
  </si>
  <si>
    <t>Junction box 3 point</t>
  </si>
  <si>
    <t>Strupeventil VVC</t>
  </si>
  <si>
    <t>UX</t>
  </si>
  <si>
    <t>- overflatebehandling.</t>
  </si>
  <si>
    <t>Reguleringsventil for VVC.</t>
  </si>
  <si>
    <t>(Små skap eller bokser som inneholder tilkoblingsklemmer.) Krysskoblingsskap patchepanel</t>
  </si>
  <si>
    <t>Balancing valve</t>
  </si>
  <si>
    <t>SV</t>
  </si>
  <si>
    <t xml:space="preserve">Strupeventil </t>
  </si>
  <si>
    <t>REGULATING</t>
  </si>
  <si>
    <t>Uendelig antall varianter</t>
  </si>
  <si>
    <t>Tappeventil</t>
  </si>
  <si>
    <t>Vannkran</t>
  </si>
  <si>
    <t>isolasjon bæresystem</t>
  </si>
  <si>
    <t>insulation structral bearing</t>
  </si>
  <si>
    <t>Styrepanel OP lampe</t>
  </si>
  <si>
    <t>Control Panel</t>
  </si>
  <si>
    <t>Door set external</t>
  </si>
  <si>
    <t>CONTROLPANEL</t>
  </si>
  <si>
    <t>Tilobling lys</t>
  </si>
  <si>
    <t>Junction point lighting</t>
  </si>
  <si>
    <t>Underfordeling normal</t>
  </si>
  <si>
    <t>Til lys stikkontakter direkte elvarme og normalt teleteknisk utstyr</t>
  </si>
  <si>
    <t>Sub distribution board</t>
  </si>
  <si>
    <t>Elkraftfordeling til driftstekniske installasjoner</t>
  </si>
  <si>
    <t>Krafttilførsel til VVS-installasjoner heiser solskjerming porter og bommer og andre driftstekniske installasjoner.</t>
  </si>
  <si>
    <t>Gassdetektor</t>
  </si>
  <si>
    <t>Gas detector</t>
  </si>
  <si>
    <t>RY</t>
  </si>
  <si>
    <t>Gassdetektor / Røykdetektor</t>
  </si>
  <si>
    <t>CO-2 detektor CO2-føler Luftkvalitetsmåler Brannmelder Linjedetektor</t>
  </si>
  <si>
    <t>GASSENSOR</t>
  </si>
  <si>
    <t>- overflatebehandling</t>
  </si>
  <si>
    <t>Kabling el driftsteknisk</t>
  </si>
  <si>
    <t>Cabling electrical technical buidling systems</t>
  </si>
  <si>
    <t>konsoll</t>
  </si>
  <si>
    <t>corbel structural</t>
  </si>
  <si>
    <t xml:space="preserve">Termostatbatteri </t>
  </si>
  <si>
    <t>Dør utvendig brann</t>
  </si>
  <si>
    <t>Koblinger driftsteknisk</t>
  </si>
  <si>
    <t xml:space="preserve">Elkraftfordeling til driftstekniske installasjoner </t>
  </si>
  <si>
    <t>Flow Fitting technical operations</t>
  </si>
  <si>
    <t>Door set external fire resistant</t>
  </si>
  <si>
    <t>Frostfri spylekran utvendig</t>
  </si>
  <si>
    <t>DB</t>
  </si>
  <si>
    <t>Magnetventil</t>
  </si>
  <si>
    <t>Magnetic valve</t>
  </si>
  <si>
    <t>Vannuttak med spylevogn</t>
  </si>
  <si>
    <t>mekanisk forbindelse</t>
  </si>
  <si>
    <t>Med spylevogn</t>
  </si>
  <si>
    <t>Motorstyrte ventiler Direktevirkende Pneumatiske</t>
  </si>
  <si>
    <t>mechanical fastener</t>
  </si>
  <si>
    <t>Magnetventil GAS</t>
  </si>
  <si>
    <t>Magnetic valve gas</t>
  </si>
  <si>
    <t>Pset_DoorCommon.FireRating: TRUE</t>
  </si>
  <si>
    <t>GASCOCK</t>
  </si>
  <si>
    <t>Stikkontakt driftsteknisk</t>
  </si>
  <si>
    <t>Power outlet / Power socket / Powerpoint technical buidling systems</t>
  </si>
  <si>
    <t>Krafttilførsel til VVS-installasjoner heiser solskjerming porter og bommer og andre driftstekniske installasjoner</t>
  </si>
  <si>
    <t>Port utvendig</t>
  </si>
  <si>
    <t xml:space="preserve">Underfordeling bygningsdrift </t>
  </si>
  <si>
    <t>Sub distribution board technical building systems</t>
  </si>
  <si>
    <t>Elkraftfordeling til virksomhet</t>
  </si>
  <si>
    <t>Krafttilførsel til installasjoner til virksomheten i bygget for eksempel til uttak for produksjonsutstyr storkjøkken laboratorier m.m.</t>
  </si>
  <si>
    <t>Kabling el virksomhet</t>
  </si>
  <si>
    <t>Kabling el til virksomhet</t>
  </si>
  <si>
    <t>Cabling electrical for tennant operations</t>
  </si>
  <si>
    <t>Vannuttak med slange</t>
  </si>
  <si>
    <t>sveiseplate</t>
  </si>
  <si>
    <t>plate welding</t>
  </si>
  <si>
    <t>Med slangehylle</t>
  </si>
  <si>
    <t>DP</t>
  </si>
  <si>
    <t>Koblinger virksomhet</t>
  </si>
  <si>
    <t>Port</t>
  </si>
  <si>
    <t xml:space="preserve">Elkraftfordeling til virksomhet </t>
  </si>
  <si>
    <t>Flow Fitting business</t>
  </si>
  <si>
    <t>Rulleporter Foldeporter Skyveporter</t>
  </si>
  <si>
    <t>Vannutttak for kaffetrakter</t>
  </si>
  <si>
    <t>Tilkopling for kaffetrakter</t>
  </si>
  <si>
    <t>søylesko</t>
  </si>
  <si>
    <t>Stikkontakt virksomhet</t>
  </si>
  <si>
    <t>shoe</t>
  </si>
  <si>
    <t>Power outlet / Power socket / Powerpoint tennant operations</t>
  </si>
  <si>
    <t>STOPCOCK</t>
  </si>
  <si>
    <t>Utstyr for sanitærinstallasjoner</t>
  </si>
  <si>
    <t>Avløpspunkt</t>
  </si>
  <si>
    <t>Dekontaminator</t>
  </si>
  <si>
    <t>KN</t>
  </si>
  <si>
    <t>Nedløp</t>
  </si>
  <si>
    <t>Avløp vannlås</t>
  </si>
  <si>
    <t>Underfordeling produksjon</t>
  </si>
  <si>
    <t>IfcWasteTerminal</t>
  </si>
  <si>
    <t>IfcWasteTerminalTypeEnum</t>
  </si>
  <si>
    <t>Krafttilførsel til uttak for produksjonsutstyr storkjøkken laboratorier m.m</t>
  </si>
  <si>
    <t>WASTETRAP</t>
  </si>
  <si>
    <t>Avløpstrakt</t>
  </si>
  <si>
    <t>Separat vannlås</t>
  </si>
  <si>
    <t>Avgangsboks strømskinne</t>
  </si>
  <si>
    <t>Avgangsboks fra strømskinne</t>
  </si>
  <si>
    <t xml:space="preserve">Circuit breaker </t>
  </si>
  <si>
    <t>Avløpstrakt for vaskemaskin</t>
  </si>
  <si>
    <t>yttervegg generisk</t>
  </si>
  <si>
    <t>Vegg utvendig generisk modelleres av ARK i tidlig fase</t>
  </si>
  <si>
    <t>Vindu utvendig</t>
  </si>
  <si>
    <t>wall external</t>
  </si>
  <si>
    <t>Fordeling el</t>
  </si>
  <si>
    <t>Distrbution board electrical</t>
  </si>
  <si>
    <t>Window external</t>
  </si>
  <si>
    <t>Badekar</t>
  </si>
  <si>
    <t>DV</t>
  </si>
  <si>
    <t>Elvarme</t>
  </si>
  <si>
    <t>Fuktføler</t>
  </si>
  <si>
    <t>Moister sensor</t>
  </si>
  <si>
    <t>RH</t>
  </si>
  <si>
    <t>Fuktighetsgiver</t>
  </si>
  <si>
    <t>Humidity Fuktføler Luftfuktighetsføler Fuktighetsdetektor Hygrometer (RHxx1) Vannføler Regnføler (RH90) Snøføler (RH99).</t>
  </si>
  <si>
    <t>MOISTURESENSOR</t>
  </si>
  <si>
    <t>yttervegg bærende</t>
  </si>
  <si>
    <t>TELE- OG AUTOMATISERING</t>
  </si>
  <si>
    <t>wall external and loadbearing</t>
  </si>
  <si>
    <t>NM</t>
  </si>
  <si>
    <t>Badekar / Basseng</t>
  </si>
  <si>
    <t>IfcSanitaryTerminal</t>
  </si>
  <si>
    <t>IfcSanitaryTerminalTypeEnum</t>
  </si>
  <si>
    <t>BATH</t>
  </si>
  <si>
    <t>Pset_SanitaryTerminalTypeBath.BathType: DOMESTIC</t>
  </si>
  <si>
    <t>Badekar for flere</t>
  </si>
  <si>
    <t>Vindu</t>
  </si>
  <si>
    <t>Pset_WallCommon.IsExternal: TRUE
Pset_WallCommon.LoadBearing: TRUE</t>
  </si>
  <si>
    <t>Innervinduer Yttervinduer Takvinduer</t>
  </si>
  <si>
    <t>Automatisering</t>
  </si>
  <si>
    <t>Pset_SanitaryTerminalTypeBath.BathType: PLUNGE</t>
  </si>
  <si>
    <t>IfcWindow</t>
  </si>
  <si>
    <t>Sentral drfitskontroll og automatisering</t>
  </si>
  <si>
    <t>Sentralutstyr for sentral driftskontroll</t>
  </si>
  <si>
    <t>Temperaturføler vegg</t>
  </si>
  <si>
    <t>Temparature sensor</t>
  </si>
  <si>
    <t>RT</t>
  </si>
  <si>
    <t>Temperaturgiver</t>
  </si>
  <si>
    <t>Pset_WindowCommon.IsExternal: TRUE</t>
  </si>
  <si>
    <t>Temperaturføler Temperaturtransmitter For forstvakt se QT</t>
  </si>
  <si>
    <t>Badekar i fødestue</t>
  </si>
  <si>
    <t>TEMPERATURESENSOR</t>
  </si>
  <si>
    <t>Pset_SanitaryTerminalTypeBath.BathType: SITZ</t>
  </si>
  <si>
    <t>Termostat</t>
  </si>
  <si>
    <t>Temperaturstyrt bryter</t>
  </si>
  <si>
    <t>Thermostat</t>
  </si>
  <si>
    <t>Bidet gulvmontert mot vegg</t>
  </si>
  <si>
    <t>Gulvmontert mot vegg</t>
  </si>
  <si>
    <t>NX</t>
  </si>
  <si>
    <t>Toalett</t>
  </si>
  <si>
    <t>THERMOSTAT</t>
  </si>
  <si>
    <t>Bidé</t>
  </si>
  <si>
    <t>BIDET</t>
  </si>
  <si>
    <t>Pset_SanitaryTerminalTypeBidet.Mounting: BACKTOWALL</t>
  </si>
  <si>
    <t>utforing dekkeforkant</t>
  </si>
  <si>
    <t>Varmeovner</t>
  </si>
  <si>
    <t>Omfatter varmeovner av enhver art for montering på gulv vegg eller i tak.</t>
  </si>
  <si>
    <t>external wall in front of column</t>
  </si>
  <si>
    <t>Ribberørsovn</t>
  </si>
  <si>
    <t>Space heater finned pipe</t>
  </si>
  <si>
    <t>LH</t>
  </si>
  <si>
    <t>Varmeflater</t>
  </si>
  <si>
    <t>Pset_WallCommon.IsExternal: TRUE
Pset_WallCommon.LoadBearing: FALSE</t>
  </si>
  <si>
    <t>Radiator Panleovner Varmetak Varmehimling Eswa</t>
  </si>
  <si>
    <t>IfcSpaceHeater</t>
  </si>
  <si>
    <t>IfcSpaceHeaterTypeEnum</t>
  </si>
  <si>
    <t>CONVECTOR</t>
  </si>
  <si>
    <t>Bidet frittstående gulvmontert</t>
  </si>
  <si>
    <t>Utvendig kledning og overflate</t>
  </si>
  <si>
    <t>Frittstående gulvmontert</t>
  </si>
  <si>
    <t>Omfatter også beslag som ikke inngår i 233 og 234.</t>
  </si>
  <si>
    <t xml:space="preserve">Kledning utvendig </t>
  </si>
  <si>
    <t xml:space="preserve">Kledning på vegg utvendig </t>
  </si>
  <si>
    <t>Takkassettovn</t>
  </si>
  <si>
    <t>Space heater panel ceiling type</t>
  </si>
  <si>
    <t>Varmeovn</t>
  </si>
  <si>
    <t>utforing søyleforkant</t>
  </si>
  <si>
    <t>Space heater wall mounted</t>
  </si>
  <si>
    <t>Reservekraft</t>
  </si>
  <si>
    <t>Elkraftaggregater</t>
  </si>
  <si>
    <t>Komplett installasjon inklusive kontrolltavle drivstoff- eksos og kjøleanlegg.</t>
  </si>
  <si>
    <t>Generator</t>
  </si>
  <si>
    <t>Electric generator set</t>
  </si>
  <si>
    <t>Pset_SanitaryTerminalTypeBidet.Mounting: PEDESTAL</t>
  </si>
  <si>
    <t>IG</t>
  </si>
  <si>
    <t>Wall cladding external</t>
  </si>
  <si>
    <t>For strømproduksjon Reservekraft Nødstrøm</t>
  </si>
  <si>
    <t>IfcElectricGenerator</t>
  </si>
  <si>
    <t>IfcElectricGeneratorTypeEnum</t>
  </si>
  <si>
    <t>Bidet veggmontert</t>
  </si>
  <si>
    <t>Veggmontert</t>
  </si>
  <si>
    <t>ENGINEGENERATOR</t>
  </si>
  <si>
    <t>Tank</t>
  </si>
  <si>
    <t>Pset_SanitaryTerminalTypeBidet.Mounting: WALLHUNG</t>
  </si>
  <si>
    <t>Storage tank</t>
  </si>
  <si>
    <t>NU</t>
  </si>
  <si>
    <t>yttervegg ikke-bærende</t>
  </si>
  <si>
    <t>Tank uten trykk</t>
  </si>
  <si>
    <t>Gasstank Trykklufttank Ekspansjonstanker Trykkavgasser Deareater</t>
  </si>
  <si>
    <t>STORAGE</t>
  </si>
  <si>
    <t>glassfasade  generisk</t>
  </si>
  <si>
    <t>Glassfasade generisk modelleres av arkitekt i tidlig fase</t>
  </si>
  <si>
    <t>curtain wall generic</t>
  </si>
  <si>
    <t>Curtain Wall generic modeled by Architect in early design stages</t>
  </si>
  <si>
    <t>Dagtank dieselaggregat</t>
  </si>
  <si>
    <t>Storage tank fuel</t>
  </si>
  <si>
    <t>Innvendig overflate</t>
  </si>
  <si>
    <t xml:space="preserve">Kledning innvendig </t>
  </si>
  <si>
    <t>Wall cladding internal</t>
  </si>
  <si>
    <t>Nødstrømsaggregat</t>
  </si>
  <si>
    <t>Electric generator set emergency power</t>
  </si>
  <si>
    <t>Boblebad</t>
  </si>
  <si>
    <t>Pset_SanitaryTerminalTypeBath.BathType: WHIRLPOOL</t>
  </si>
  <si>
    <t>Servanter klosettskåler bidé badekar benkebeslag beredere pumper blandebatterier tappekraner dusjer sluk.</t>
  </si>
  <si>
    <t>Buffertank</t>
  </si>
  <si>
    <t>Drenspumpe</t>
  </si>
  <si>
    <t>Pumpe for oppsamlet vann innomhus (Derfor ikke JQ)</t>
  </si>
  <si>
    <t>Water drain pump</t>
  </si>
  <si>
    <t>JP</t>
  </si>
  <si>
    <t>Pumper for alle medium.</t>
  </si>
  <si>
    <t>IfcPump</t>
  </si>
  <si>
    <t>IfcPumpTypeEnum</t>
  </si>
  <si>
    <t>SUMPPUMP</t>
  </si>
  <si>
    <t>Avbruddsfri kraftforsyning</t>
  </si>
  <si>
    <t>Inklusive eventuelle batterier.</t>
  </si>
  <si>
    <t>UPS</t>
  </si>
  <si>
    <t>Uninterruptible power supply</t>
  </si>
  <si>
    <t>NB</t>
  </si>
  <si>
    <t>Batteri / UPS</t>
  </si>
  <si>
    <t>Solavskjerming</t>
  </si>
  <si>
    <t>Drikkefontene</t>
  </si>
  <si>
    <t>Strømbatterier Strømakkumulator No-Break Avbruddsfri strømforsyning Batteripakke</t>
  </si>
  <si>
    <t>Omfatter både inn- og utvendig solavskjerming inklusive utstyr for manuell eller elektrisk betjening.</t>
  </si>
  <si>
    <t>IfcElectricFlowStorageDevice</t>
  </si>
  <si>
    <t>1-kanal Bryter for persienne</t>
  </si>
  <si>
    <t>IfcElectricFlowStorageDeviceTypeEnum</t>
  </si>
  <si>
    <t>glassfasade</t>
  </si>
  <si>
    <t>curtain wall</t>
  </si>
  <si>
    <t>Vannutkaster</t>
  </si>
  <si>
    <t>Akkumulatoranlegg</t>
  </si>
  <si>
    <t>SANITARYFOUNTAIN</t>
  </si>
  <si>
    <t>Omfatter også utstyr for ladning</t>
  </si>
  <si>
    <t>Pset_SanitaryTerminalTypeSanitaryFountain.FountainType: DRINKINGWATER</t>
  </si>
  <si>
    <t>Batteri</t>
  </si>
  <si>
    <t>Battery plants</t>
  </si>
  <si>
    <t>BATTERY</t>
  </si>
  <si>
    <t>Basisinstallasjoner for tele og automatisering</t>
  </si>
  <si>
    <t>Kontroller for solavskjerming</t>
  </si>
  <si>
    <t>OU</t>
  </si>
  <si>
    <t>Markise</t>
  </si>
  <si>
    <t>Solavskjerming Solgardin</t>
  </si>
  <si>
    <t>Sun shading device Shutter</t>
  </si>
  <si>
    <t>QX</t>
  </si>
  <si>
    <t>Persienner Markiser Raster</t>
  </si>
  <si>
    <t>IfcShadingDevice</t>
  </si>
  <si>
    <t>IfcShadingDeviceTypeEnum</t>
  </si>
  <si>
    <t>AWNING</t>
  </si>
  <si>
    <t>Bæresystemer for tele- og automatisering og som ikke inngår i 411.</t>
  </si>
  <si>
    <t>Dusj komplett med blandebatteri fast dusjhode</t>
  </si>
  <si>
    <t>Inkluderer:
- Blindkarm tetting utfôringer belistning lås og beslag;
- eventuelle persienner montert mellom vindusglass;
- sålebenkbeslag vannbrettbeslag og bygningsbeslag;
- overflatebehandling.</t>
  </si>
  <si>
    <t>karuselldør utvendig utvendig karuselldør</t>
  </si>
  <si>
    <t>door revolving revolving external door</t>
  </si>
  <si>
    <t xml:space="preserve">Persienne Master Control </t>
  </si>
  <si>
    <t>IfcController</t>
  </si>
  <si>
    <t>Dusj komplett med blandebatteri stang løst dusjhode</t>
  </si>
  <si>
    <t>Integrert kommunikasjon</t>
  </si>
  <si>
    <t>Andre installasjoner for integrert kommunikasjon</t>
  </si>
  <si>
    <t>For anvendesle når standardens øvrige inndeling på 3-sifret nivå ikke er dekkende</t>
  </si>
  <si>
    <t>Persiennemotor</t>
  </si>
  <si>
    <t>GSM antenne</t>
  </si>
  <si>
    <t>KA</t>
  </si>
  <si>
    <t>GSM Antenna</t>
  </si>
  <si>
    <t>Inkluderer:
- Blindkarm tetting utfôringer belistning lås og beslag;
- eventuelle persienner montert mellom vindusglass;
- sålebenkbeslag vannbrettbeslag og bygningsbeslag;
- overflatebehandling</t>
  </si>
  <si>
    <t>Persienner</t>
  </si>
  <si>
    <t>Kabling for IKT</t>
  </si>
  <si>
    <t>Felles kabling for IKT-systemer. Omfatter alt materiell fra fordeling til og med uttak. Telefordelinger se 515.</t>
  </si>
  <si>
    <t>Solavskjerming Persienner</t>
  </si>
  <si>
    <t>HUB</t>
  </si>
  <si>
    <t>Sun shading device blinds/jalousie</t>
  </si>
  <si>
    <t>x porter</t>
  </si>
  <si>
    <t>utvendig dør</t>
  </si>
  <si>
    <t>Dusjkabinett</t>
  </si>
  <si>
    <t>door set external external dor set</t>
  </si>
  <si>
    <t>JALOUSIE</t>
  </si>
  <si>
    <t>Router Fordeler</t>
  </si>
  <si>
    <t>HUB Switch CSS Bro Fordelerskap Rørfordeling Luftfordeler Slot  Splitter</t>
  </si>
  <si>
    <t>FI</t>
  </si>
  <si>
    <t>NETWORKHUB</t>
  </si>
  <si>
    <t>Regnføler for solavskjerming – RD-20C</t>
  </si>
  <si>
    <t>SHOWER</t>
  </si>
  <si>
    <t>Pset_SanitaryTerminalTypeShower.Showertype: INDIVIDUAL</t>
  </si>
  <si>
    <t>Intercom</t>
  </si>
  <si>
    <t>OT</t>
  </si>
  <si>
    <t>Telefonapparat</t>
  </si>
  <si>
    <t>Mobiltelefon Walkie Talkie (Transceiver)</t>
  </si>
  <si>
    <t>IfcAudioVisualAppliance</t>
  </si>
  <si>
    <t>IfcAudioVisualApplianceTypeEnum</t>
  </si>
  <si>
    <t>RECIVER</t>
  </si>
  <si>
    <t>utvendig branndør</t>
  </si>
  <si>
    <t>HasTray: TRUE</t>
  </si>
  <si>
    <t>door set external fire resistant</t>
  </si>
  <si>
    <t>Intercom med boks</t>
  </si>
  <si>
    <t>Sun shading device</t>
  </si>
  <si>
    <t>Intercom with box</t>
  </si>
  <si>
    <t>Pset_DoorCommon.IsExternal: TRUE
Pset_DoorCommon.FireRating: TRUE</t>
  </si>
  <si>
    <t>Solføler for solavskjerming – LS 30</t>
  </si>
  <si>
    <t>RJ</t>
  </si>
  <si>
    <t>Elektrokjel sanitær anlegg</t>
  </si>
  <si>
    <t>LIGHTSENSOR</t>
  </si>
  <si>
    <t>Electrical water heater domestic water</t>
  </si>
  <si>
    <t>Master intercom</t>
  </si>
  <si>
    <t>Solgardin</t>
  </si>
  <si>
    <t>utvendig port port utvendig</t>
  </si>
  <si>
    <t>IE</t>
  </si>
  <si>
    <t>gate external</t>
  </si>
  <si>
    <t>Elektrokjel</t>
  </si>
  <si>
    <t>Elementkjel elektrodekjel</t>
  </si>
  <si>
    <t>SHUTTER</t>
  </si>
  <si>
    <t>IfcBoiler</t>
  </si>
  <si>
    <t>IfcBoilerTypeEnum</t>
  </si>
  <si>
    <t>WATER</t>
  </si>
  <si>
    <t>Pset_BoilerTypeCommon.Status: NEW</t>
  </si>
  <si>
    <t>Datauttak</t>
  </si>
  <si>
    <t>Data outlet</t>
  </si>
  <si>
    <t xml:space="preserve">UD </t>
  </si>
  <si>
    <t>Uttak data</t>
  </si>
  <si>
    <t>Datakontakt</t>
  </si>
  <si>
    <t>Temperaturgiver for solavskjerming – TS Pro XL</t>
  </si>
  <si>
    <t>DATAOUTLET</t>
  </si>
  <si>
    <t>Telefonuttak</t>
  </si>
  <si>
    <t>Telephone outlet</t>
  </si>
  <si>
    <t>UT</t>
  </si>
  <si>
    <t>Uttak telefon</t>
  </si>
  <si>
    <t>Vindhastighetsgiver for solavskjerming – WD Pro XL</t>
  </si>
  <si>
    <t>RS</t>
  </si>
  <si>
    <t>TELEPHONEOUTLET</t>
  </si>
  <si>
    <t>Pset_BoilerTypeCommon.EnergySource: ELECTRICITY</t>
  </si>
  <si>
    <t>WINDSENSOR</t>
  </si>
  <si>
    <t>vindu utvendig utvendig vindu</t>
  </si>
  <si>
    <t>window external external window</t>
  </si>
  <si>
    <t>Fellesuttak</t>
  </si>
  <si>
    <t>Fast dusj</t>
  </si>
  <si>
    <t>Uttak for flere funksjoner som data telefon og fiber</t>
  </si>
  <si>
    <t>Common outlet</t>
  </si>
  <si>
    <t>Dusjhode med fast rør i vegg eller utenpåliggende</t>
  </si>
  <si>
    <t>UF</t>
  </si>
  <si>
    <t>UZ</t>
  </si>
  <si>
    <t>Dyse / spreder</t>
  </si>
  <si>
    <t>Vindretningsgiver for solavskjerming – WD Pro XL</t>
  </si>
  <si>
    <t>Uttak felles kablingssystem (f.eks. tele og data) Uttak fiberkabel Uttak optisk fiber</t>
  </si>
  <si>
    <t>Sprinklerhode Injektor Dusjhode Hånddusj Dusjgarnityr Nøddusj.</t>
  </si>
  <si>
    <t>Pset_SanitaryTerminalTypeShower.ShowerType: INDIVIDUAL</t>
  </si>
  <si>
    <t>Nettutstyr</t>
  </si>
  <si>
    <t>Utstyr for IKT nettverk</t>
  </si>
  <si>
    <t>Kontrollpanel</t>
  </si>
  <si>
    <t>Panel med brytere lamper display e.l.</t>
  </si>
  <si>
    <t>Operating panel</t>
  </si>
  <si>
    <t>Fordrøyningstank</t>
  </si>
  <si>
    <t>Avløp blymantlet</t>
  </si>
  <si>
    <t>Telefoni og personsøking</t>
  </si>
  <si>
    <t>Systemer for porttelefon</t>
  </si>
  <si>
    <t>Porttelefon</t>
  </si>
  <si>
    <t>Beslag</t>
  </si>
  <si>
    <t>Port Phone</t>
  </si>
  <si>
    <t>Beslag som komplettering av vegg</t>
  </si>
  <si>
    <t>QM</t>
  </si>
  <si>
    <t>kledning utvendig utvendig kledning</t>
  </si>
  <si>
    <t>Mekanisk beskyttelse</t>
  </si>
  <si>
    <t>Vern Beslag Beskyttelseslist Fender Puller Håndtak Håndløper Rekkverk Gelender Skjerm Låsbeslag Dørpumpe Dekkplate Gjerde Gitter Stengsel Dråpefanger Bom Sperre</t>
  </si>
  <si>
    <t>wall cladding external external wall cladding</t>
  </si>
  <si>
    <t>TELEPHONE</t>
  </si>
  <si>
    <t>Ringeklokke</t>
  </si>
  <si>
    <t>Alarm clock</t>
  </si>
  <si>
    <t>Pset_TankTypeCommon.StorageType: WASTEWATER</t>
  </si>
  <si>
    <t>Brakett yttervegg</t>
  </si>
  <si>
    <t>Brakkett for utstyr</t>
  </si>
  <si>
    <t>XH</t>
  </si>
  <si>
    <t>Komponenter for signalering</t>
  </si>
  <si>
    <t>Signallampe Varsellampe Lysdiode Ringeklokke Alarmklokke Sirene Stillingsviser Summer Horn</t>
  </si>
  <si>
    <t>IfcAlarm</t>
  </si>
  <si>
    <t>IfcAlarmTypeEnum</t>
  </si>
  <si>
    <t>BELL</t>
  </si>
  <si>
    <t>Fotbad</t>
  </si>
  <si>
    <t>Systemer for telefoni</t>
  </si>
  <si>
    <t>Pset_SanitaryTerminalTypeBath.BathType: FOOT</t>
  </si>
  <si>
    <t>Høyttaler intercom</t>
  </si>
  <si>
    <t>Speaker intercom</t>
  </si>
  <si>
    <t>Andre deler av yttervegger</t>
  </si>
  <si>
    <t>UH</t>
  </si>
  <si>
    <t>Høyttaler</t>
  </si>
  <si>
    <t>For anvendelse når standardens øvrige inndeling på 3-sifret nivå ikke er dekkende.</t>
  </si>
  <si>
    <t>Utsparing</t>
  </si>
  <si>
    <t>Opening</t>
  </si>
  <si>
    <t>Høretelefoner Headset (også med mikrofon) Subbass (Subwoofer) Loudspeaker</t>
  </si>
  <si>
    <t>IfcOpeningElement</t>
  </si>
  <si>
    <t>Frisørservant</t>
  </si>
  <si>
    <t>SPEAKER</t>
  </si>
  <si>
    <t>Spesiell for å vaske hår</t>
  </si>
  <si>
    <t>NY</t>
  </si>
  <si>
    <t>Servant</t>
  </si>
  <si>
    <t>Servant vask</t>
  </si>
  <si>
    <t>Alarm- og signalsystemer</t>
  </si>
  <si>
    <t>Brannalarm</t>
  </si>
  <si>
    <t>Komplett inkludert kursopplegg der dette ikke inngår i 521</t>
  </si>
  <si>
    <t>WASHHANDBASIN</t>
  </si>
  <si>
    <t>Alarmhorn</t>
  </si>
  <si>
    <t>Alarm Horn</t>
  </si>
  <si>
    <t>Pset_SanitaryTerminalTypeWashHandBasin.WashHandBasinType: OTHER</t>
  </si>
  <si>
    <t>kledning innvendig innvendig kledning</t>
  </si>
  <si>
    <t>SIREN</t>
  </si>
  <si>
    <t>wall cladding internal internal wall cladding</t>
  </si>
  <si>
    <t>Grønnsaksforberedelsekum</t>
  </si>
  <si>
    <t>Storkjøkken</t>
  </si>
  <si>
    <t>Alarmhorn - IP33C men sertifisert for IP65</t>
  </si>
  <si>
    <t>Alarm Horn - IP33C</t>
  </si>
  <si>
    <t>Vaskekum</t>
  </si>
  <si>
    <t>SINK</t>
  </si>
  <si>
    <t>Pset_SanitaryTerminalTypeSink.SinkType: VEGETABLEPREPARATION</t>
  </si>
  <si>
    <t>Innervegger</t>
  </si>
  <si>
    <t>Bærende innervegger</t>
  </si>
  <si>
    <t>Gulvbrønn</t>
  </si>
  <si>
    <t>Alarmhøyttaler</t>
  </si>
  <si>
    <t>Sluk med vannlås</t>
  </si>
  <si>
    <t>markise</t>
  </si>
  <si>
    <t>sun shading device shutter</t>
  </si>
  <si>
    <t>Kledning og overflate se 246.</t>
  </si>
  <si>
    <t>Sluk vannlås</t>
  </si>
  <si>
    <t>FLOORTRAP</t>
  </si>
  <si>
    <t>Innervegg bærende</t>
  </si>
  <si>
    <t>Alarm Speaker</t>
  </si>
  <si>
    <t>Wall loadbearing Internal</t>
  </si>
  <si>
    <t>Hjørnebadekar</t>
  </si>
  <si>
    <t>Pset_SanitaryTerminalTypeBath.BathType: DOMESTICCORNER</t>
  </si>
  <si>
    <t>Alarmhøyttaler - (Brann/Talevarsling) - Innfelt</t>
  </si>
  <si>
    <t>Alarm Speaker recessed</t>
  </si>
  <si>
    <t>Hånddusj</t>
  </si>
  <si>
    <t>Løst dusjhode med slange på stang eller feste på vegg</t>
  </si>
  <si>
    <t>Alarmstasjon</t>
  </si>
  <si>
    <t>Alarm Station</t>
  </si>
  <si>
    <t>Pset_WallCommon.IsExternal: FALSE</t>
  </si>
  <si>
    <t>Håndvask</t>
  </si>
  <si>
    <t>Liten servant 50 cm og mindre</t>
  </si>
  <si>
    <t>Aspirasjonsdetektor</t>
  </si>
  <si>
    <t>persienner</t>
  </si>
  <si>
    <t>Detekterer tilløp til brann ved analyse av luftprøver</t>
  </si>
  <si>
    <t>Smoke Detector aspiration</t>
  </si>
  <si>
    <t>Pset_SanitaryTerminalTypeWashHandBasin.WashHandBasinType: HANDRINSE</t>
  </si>
  <si>
    <t>Detects potensial fire by analysis of air samples</t>
  </si>
  <si>
    <t>sun shading device blinds jalousie</t>
  </si>
  <si>
    <t>Gasdetektor / Røykdetektor</t>
  </si>
  <si>
    <t>Intimdusj</t>
  </si>
  <si>
    <t>Løst dusjhode med slange med feste på vegg ved WC</t>
  </si>
  <si>
    <t>Ikke-bærende innervegger</t>
  </si>
  <si>
    <t>SMOKESENSOR</t>
  </si>
  <si>
    <t>Pset_SanitaryTerminalTypeBath.ShowerType: INDIVIDUAL</t>
  </si>
  <si>
    <t>Brannalarmsentral</t>
  </si>
  <si>
    <t>Innervegg ikke-bærende</t>
  </si>
  <si>
    <t>Brannalarmsentral med batteripakke i eget skap</t>
  </si>
  <si>
    <t>Jacuzzi</t>
  </si>
  <si>
    <t>Fire Alarm Control Panel</t>
  </si>
  <si>
    <t>Boblebad for flere</t>
  </si>
  <si>
    <t>Fire Alarm Control Panel including battery back in external cabinet</t>
  </si>
  <si>
    <t>OS</t>
  </si>
  <si>
    <t>Sentralenhet</t>
  </si>
  <si>
    <t>Wall non-load bearing internal</t>
  </si>
  <si>
    <t>Kontrollenhet Alarmsentral Brannsentral</t>
  </si>
  <si>
    <t>solavskjerming</t>
  </si>
  <si>
    <t>Pset_SanitaryTerminalTypeBath.BathType: JACUZZI</t>
  </si>
  <si>
    <t>sun shading device</t>
  </si>
  <si>
    <t>Branndetektor</t>
  </si>
  <si>
    <t>Keramisk kum med keramisk flate bakover for armatur</t>
  </si>
  <si>
    <t>Smoke Detector</t>
  </si>
  <si>
    <t xml:space="preserve">Pset_SanitaryTerminalTypeSink.SinkType: SHELF </t>
  </si>
  <si>
    <t>Branndetektor Ionisk</t>
  </si>
  <si>
    <t>Detekterer ioner i røyk og forbrenningsgasser</t>
  </si>
  <si>
    <t>Smoke Detector ionic</t>
  </si>
  <si>
    <t>solgardin</t>
  </si>
  <si>
    <t>Detects ions in smoke and combustion gases</t>
  </si>
  <si>
    <t>Vaskekum keramisk med front satt i benk med overløp</t>
  </si>
  <si>
    <t>Butler sink med overløp</t>
  </si>
  <si>
    <t xml:space="preserve">Pset_SanitaryTerminalTypeSink.SinkType: BELFAST </t>
  </si>
  <si>
    <t>Systemvegger glassfelt</t>
  </si>
  <si>
    <t>Systemvegger med og uten glass samt innendørs glassvegger.</t>
  </si>
  <si>
    <t>Glassvegg</t>
  </si>
  <si>
    <t>Curtainwall</t>
  </si>
  <si>
    <t xml:space="preserve">Branndetektor multikriterie </t>
  </si>
  <si>
    <t>Pset_CurtainWallCommon: FALSE</t>
  </si>
  <si>
    <t>Detekterer tilløp til brann ved flere målemetoder</t>
  </si>
  <si>
    <t>Smoke Detector Multisensor</t>
  </si>
  <si>
    <t>Detects potential fire by several methods of measurement</t>
  </si>
  <si>
    <t>Systemvegg</t>
  </si>
  <si>
    <t>Wall elemented</t>
  </si>
  <si>
    <t>Vaskekum keramisk med front satt i benk uten overløp</t>
  </si>
  <si>
    <t>Butler sink uten overløp</t>
  </si>
  <si>
    <t>Branndetektor multikriterie - Flash</t>
  </si>
  <si>
    <t>ELEMENTEDWALL</t>
  </si>
  <si>
    <t>Detekterer tilløp til brann ved flere målemetoder. Varsler brann med blinkende lys</t>
  </si>
  <si>
    <t xml:space="preserve">Pset_SanitaryTerminalTypeSink.SinkType: LONDON </t>
  </si>
  <si>
    <t>Smoke Detector Multisensor with flash</t>
  </si>
  <si>
    <t>Detects potential fire by several methods of measurement. Alerts fire with flashing lights</t>
  </si>
  <si>
    <t>beslag</t>
  </si>
  <si>
    <t>Vinduer dører foldevegger</t>
  </si>
  <si>
    <t>Kjemisk toalett</t>
  </si>
  <si>
    <t>Inklusive utforinger belistning låse- og beslag</t>
  </si>
  <si>
    <t>Dør innvendig</t>
  </si>
  <si>
    <t>Door</t>
  </si>
  <si>
    <t>DI</t>
  </si>
  <si>
    <t>Dør - innvendig</t>
  </si>
  <si>
    <t>WC Toalett klosett</t>
  </si>
  <si>
    <t>Innvendige Dører; Ståldører Tredører Glassdører Skyvedører</t>
  </si>
  <si>
    <t>Branndetektor optisk</t>
  </si>
  <si>
    <t>Pset_DoorCommon.IsExternal: FALSE</t>
  </si>
  <si>
    <t>Detekterer røykpartikler</t>
  </si>
  <si>
    <t>Smoke Detector optical</t>
  </si>
  <si>
    <t>TOILETPAN</t>
  </si>
  <si>
    <t>Detects smoke particles</t>
  </si>
  <si>
    <t>ToiletType: CHEMICAL</t>
  </si>
  <si>
    <t>Foldevegg</t>
  </si>
  <si>
    <t>Kjøkkenkvern</t>
  </si>
  <si>
    <t>Wall folding</t>
  </si>
  <si>
    <t>Kvern i avløpet som reduserer avfall til så små biter at det kan gå i avløpet</t>
  </si>
  <si>
    <t>DF</t>
  </si>
  <si>
    <t>HM</t>
  </si>
  <si>
    <t>Foldedør / Foldevegg</t>
  </si>
  <si>
    <t>Maskin</t>
  </si>
  <si>
    <t>Skyvevegger</t>
  </si>
  <si>
    <t>Kverner</t>
  </si>
  <si>
    <t>MOVABLE</t>
  </si>
  <si>
    <t>WASTEDISPOSALUNIT</t>
  </si>
  <si>
    <t>brakett</t>
  </si>
  <si>
    <t>Branndetektor optisk - Aspirasjon</t>
  </si>
  <si>
    <t>Laboratorikum</t>
  </si>
  <si>
    <t>Smoke Detector optical - aspiration</t>
  </si>
  <si>
    <t>Gerikt</t>
  </si>
  <si>
    <t>Molding</t>
  </si>
  <si>
    <t>AL</t>
  </si>
  <si>
    <t>List / Beslistning</t>
  </si>
  <si>
    <t>Listverk Gulvlister Taklister Dørlister Folist Gerikt Holkil Vaskelist Vannbord Vindski Hjørnebord.</t>
  </si>
  <si>
    <t>Pset_SanitaryTerminalTypeSinkSinkType: LABORATORY</t>
  </si>
  <si>
    <t>MOLDING</t>
  </si>
  <si>
    <t>Branndetektor optisk - Flash</t>
  </si>
  <si>
    <t>Detekterer røykpartikler. Varsler brann med blinkende lys</t>
  </si>
  <si>
    <t>Smoke Detector optical with flash</t>
  </si>
  <si>
    <t>Detects smoke particles. Alerts fire with flashing lights</t>
  </si>
  <si>
    <t>Vinduer innvendig</t>
  </si>
  <si>
    <t>Window</t>
  </si>
  <si>
    <t>Multirenne</t>
  </si>
  <si>
    <t>Sluk</t>
  </si>
  <si>
    <t>Pset_WindowCommon.IsExternal: FALSE</t>
  </si>
  <si>
    <t>FLOOORWASTE</t>
  </si>
  <si>
    <t>Branndetektor optisk over himling med paralellampe ved tak under himling</t>
  </si>
  <si>
    <t>Detekterer røykpartikler over himling. Varsler brann med blinkende lys under himling</t>
  </si>
  <si>
    <t>Smoke Detektor optical above ceiling with parallell lamp underneath ceiling</t>
  </si>
  <si>
    <t>Detects smoke particles above ceiling. Alerts fire with emergency light underneath ceiling</t>
  </si>
  <si>
    <t>utsparing</t>
  </si>
  <si>
    <t>opening</t>
  </si>
  <si>
    <t>Nøddusj</t>
  </si>
  <si>
    <t>Skjørt som vegg</t>
  </si>
  <si>
    <t xml:space="preserve">Branndetektor - optisk under datagulv med paralellampe +1800 over datagulv </t>
  </si>
  <si>
    <t>Pset_SanitaryTerminalTypeShower.ShowerType: DRENCH</t>
  </si>
  <si>
    <t>Detekterer røykpartikler under datagulv. Varsler brann med blinkende lys på vegg</t>
  </si>
  <si>
    <t>Innvervegg</t>
  </si>
  <si>
    <t>Skjørt</t>
  </si>
  <si>
    <t>Smoke Detecter optical underneath computer room floor with parallell lamp +1800 above floor</t>
  </si>
  <si>
    <t>Nøddusj med øyespyler</t>
  </si>
  <si>
    <t>Suspended wall. Wall between slab/roof and suspended ceiling</t>
  </si>
  <si>
    <t>Nøddusj / Vannutkaster</t>
  </si>
  <si>
    <t>Detects smoke underneth computer room floor. Alerts fire with emergency light placed on wall</t>
  </si>
  <si>
    <t>innvervegg generisk generisk innervegg</t>
  </si>
  <si>
    <t>Innvervegg generisk modelleres av ARK i tidlig fase</t>
  </si>
  <si>
    <t>internal wall generic</t>
  </si>
  <si>
    <t>Dyse / spreder - Uttak vann</t>
  </si>
  <si>
    <t>Branndetektor termisk - Flash</t>
  </si>
  <si>
    <t>Detekterer temperaturstigning. Varsler brann med blinkende lys</t>
  </si>
  <si>
    <t>Smoke Detector thermal with flash</t>
  </si>
  <si>
    <t>Detects rise in temperature. Alerts fire with flashing lights</t>
  </si>
  <si>
    <t>Oppvaskkum m/rist høyre</t>
  </si>
  <si>
    <t>innervegg bærende bærende innervegg</t>
  </si>
  <si>
    <t>Branndetektor termisk - Klasse 1 (60gr)</t>
  </si>
  <si>
    <t>Detekterer temperaturstigning. Klasse 1 er mest følsom</t>
  </si>
  <si>
    <t>Smoke Detector thermal class 1</t>
  </si>
  <si>
    <t>Pset_SanitaryTerminalTypeSink.SinkType: COMBINATION_RIGHT</t>
  </si>
  <si>
    <t>Belistning mot himling og gulv se 255 og 256.</t>
  </si>
  <si>
    <t>Detects rise in temperature. Class 1 is most sensitive.</t>
  </si>
  <si>
    <t>Kledning vegg</t>
  </si>
  <si>
    <t>Cladding wall</t>
  </si>
  <si>
    <t>Oppvaskkum m/rist på begge sider</t>
  </si>
  <si>
    <t>Branndetektor termisk - Klasse 2</t>
  </si>
  <si>
    <t>Detekterer temperaturstigning. Klasse 2 dekker området mellom klasse 1 og 3</t>
  </si>
  <si>
    <t>Smoke Detector thermal class 2</t>
  </si>
  <si>
    <t>Detects rise in temperature. Class 2 covers area between class 1 og 3</t>
  </si>
  <si>
    <t>Pset_SanitaryTerminalTypeSink.SinkType: COMBINATION_DOUBLE</t>
  </si>
  <si>
    <t>Omfatter delprodukter som er en del av innervegg men som ikke inngår i bygningsdelene over.</t>
  </si>
  <si>
    <t>wall internal loadbearing loadbearing internal wall</t>
  </si>
  <si>
    <t>Brakett innervegg</t>
  </si>
  <si>
    <t>Oppvaskkum m/rist venstre</t>
  </si>
  <si>
    <t>Pset_WallCommon.IsExternal: FALSE
Pset_WallCommon.LoadBearing: TRUE</t>
  </si>
  <si>
    <t>Pset_SanitaryTerminalTypeSink.SinkType: COMBINATION_LEFT</t>
  </si>
  <si>
    <t>Branndetektor termisk - Klasse 3</t>
  </si>
  <si>
    <t>Detekterer temperaturstigning. Klasse 3 er minst sensitiv</t>
  </si>
  <si>
    <t>Smoke Detector thermal class 3</t>
  </si>
  <si>
    <t>Dekker</t>
  </si>
  <si>
    <t>Detects rise in temperature. Class 3 is least sensitive.</t>
  </si>
  <si>
    <t>Frittbærende dekker</t>
  </si>
  <si>
    <t>Omfatter dekker broer og ramper inklusive integrerte bjelker. Tribuner og amfier se 285.</t>
  </si>
  <si>
    <t>Overvannskum</t>
  </si>
  <si>
    <t>Dekke</t>
  </si>
  <si>
    <t>Utvendig sluk / kum med sandfang</t>
  </si>
  <si>
    <t>Etasjeskiller med mer</t>
  </si>
  <si>
    <t>NK</t>
  </si>
  <si>
    <t>Slab loadbearing</t>
  </si>
  <si>
    <t>FLOOR</t>
  </si>
  <si>
    <t>Pset_SlabCommon.LoadBearing: TRUE</t>
  </si>
  <si>
    <t>GULLYSUMP</t>
  </si>
  <si>
    <t>Hulldekke</t>
  </si>
  <si>
    <t>Slab hollowcore loadbearing</t>
  </si>
  <si>
    <t>Branndetektor i kanal</t>
  </si>
  <si>
    <t>Detekterer røykpartikler i kanal</t>
  </si>
  <si>
    <t>Smoke Detector placed in duct</t>
  </si>
  <si>
    <t>AE</t>
  </si>
  <si>
    <t>Overvannskum med dykket avløp</t>
  </si>
  <si>
    <t>Detects smoke particles in duct</t>
  </si>
  <si>
    <t>Utvendig sluk / kum med sandfang med avløpsrør dykket ned i sumpen</t>
  </si>
  <si>
    <t>Elementer</t>
  </si>
  <si>
    <t>Monteringsferdige Prefabrikerte elementer</t>
  </si>
  <si>
    <t>IfcBeamTypeEnum</t>
  </si>
  <si>
    <t>HOLLOWCORE</t>
  </si>
  <si>
    <t>Pset_BeamCommon.LoadBearing: TRUE</t>
  </si>
  <si>
    <t>Brannspjeldsentral</t>
  </si>
  <si>
    <t>Styrer og overvåker brannspjeld</t>
  </si>
  <si>
    <t>Fire Damper Control Panel</t>
  </si>
  <si>
    <t>Controls and monitors fire dampers</t>
  </si>
  <si>
    <t>innervegg ikke-bærende ikke-bærende innervegg</t>
  </si>
  <si>
    <t>wall non-load bearing  internal non-load bearing wall</t>
  </si>
  <si>
    <t>Prefab dekker</t>
  </si>
  <si>
    <t>Slab pre-fab loadbearing</t>
  </si>
  <si>
    <t>Gulv på grunn</t>
  </si>
  <si>
    <t>Pissoir</t>
  </si>
  <si>
    <t>Omfatter isolasjon diffusjonssperre og betong.</t>
  </si>
  <si>
    <t>Bygningstype offentlig urinal</t>
  </si>
  <si>
    <t>Baseslab (mat foundation)</t>
  </si>
  <si>
    <t>URINAL</t>
  </si>
  <si>
    <t>Pumpe for avløpsvann neddykkbar</t>
  </si>
  <si>
    <t>Pump for sewerage submersile</t>
  </si>
  <si>
    <t>JQ</t>
  </si>
  <si>
    <t>Pumpe i VA anlegg</t>
  </si>
  <si>
    <t>Oppforet gulv påstøp</t>
  </si>
  <si>
    <t>Avløpspumpe</t>
  </si>
  <si>
    <t>Omfatter plassbygd oppfôring av gulv samt påstøp.</t>
  </si>
  <si>
    <t>Gulv oppforet</t>
  </si>
  <si>
    <t>SUBMERSIBLEPUMP</t>
  </si>
  <si>
    <t>Floor reared</t>
  </si>
  <si>
    <t>AO</t>
  </si>
  <si>
    <t>Oppbygende / Utforende</t>
  </si>
  <si>
    <t>Foring: Betong Lettklinkel Leca Tegl Murstein Treverk Treplank Stål</t>
  </si>
  <si>
    <t>Servant tannlege</t>
  </si>
  <si>
    <t>Tannlege spytt ut</t>
  </si>
  <si>
    <t>Sink dentist</t>
  </si>
  <si>
    <t>Pset_SlabCommon.LoadBearing: FALSE</t>
  </si>
  <si>
    <t>Pset_SanitaryTerminalTypeWashHandBasin.WashHandBasinType: DENTALCUSPIDOR</t>
  </si>
  <si>
    <t>Pset_WallCommon.IsExternal: FALSE
Pset_WallCommon.LoadBearing: FALSE</t>
  </si>
  <si>
    <t>Dørlukker</t>
  </si>
  <si>
    <t>Gammeldags</t>
  </si>
  <si>
    <t>Door closer</t>
  </si>
  <si>
    <t>Akkurator</t>
  </si>
  <si>
    <t>Spjeldmotor Ventilmotor Servomotor EL-/Pneum.-/Hydraulisk Låsmotor Dørlukker Magnetholder (for branndører)</t>
  </si>
  <si>
    <t>IfcActuator</t>
  </si>
  <si>
    <t>Servant kirurgi</t>
  </si>
  <si>
    <t>IfcActuatorTypeEnum</t>
  </si>
  <si>
    <t>Kirurgvask</t>
  </si>
  <si>
    <t>HYDRAULICACTUATOR</t>
  </si>
  <si>
    <t xml:space="preserve">Sink </t>
  </si>
  <si>
    <t>Døråpner</t>
  </si>
  <si>
    <t>Gulv påstøp</t>
  </si>
  <si>
    <t>Door opner</t>
  </si>
  <si>
    <t>Floor screed integral cast concrete topping</t>
  </si>
  <si>
    <t>Pset_SanitaryTerminalTypeWashHandBasin.WashHandBasinType: HOSPITAL</t>
  </si>
  <si>
    <t>glassvegg</t>
  </si>
  <si>
    <t>Servant tippbar</t>
  </si>
  <si>
    <t>Som kan tippes for å tømmes</t>
  </si>
  <si>
    <t>curtainwall</t>
  </si>
  <si>
    <t>Sink</t>
  </si>
  <si>
    <t>ELECTRICACTUATOR</t>
  </si>
  <si>
    <t>Pset_ActuatorTypeElectricActuator.ElectricActuatorType: MOTORDRIVE</t>
  </si>
  <si>
    <t>Pset_SanitaryTerminalTypeWashHandBasin.WashHandBasinType: TIPUP</t>
  </si>
  <si>
    <t>Servant nedfelt</t>
  </si>
  <si>
    <t>Nedfelt</t>
  </si>
  <si>
    <t>Pset_SanitaryTerminalTypeWashHandBasin.WashHandBasinType: VANITY</t>
  </si>
  <si>
    <t>Servant multippel</t>
  </si>
  <si>
    <t>For flere f.eks. rund som man kan stå rundt</t>
  </si>
  <si>
    <t>glassvegg generisk</t>
  </si>
  <si>
    <t>Glassvegg generisk modelleres av ARK i tidlig fase</t>
  </si>
  <si>
    <t>BP</t>
  </si>
  <si>
    <t>Avretningsmasse</t>
  </si>
  <si>
    <t>curtainwall generic</t>
  </si>
  <si>
    <t>Påstøp Puss Sparkel Helsparkling Tynnavretting Mørtel</t>
  </si>
  <si>
    <t>Curtainwall generic modeled by Architect in early design stages</t>
  </si>
  <si>
    <t>Flammedetektor</t>
  </si>
  <si>
    <t>Detekter flammer</t>
  </si>
  <si>
    <t>Flame Detector</t>
  </si>
  <si>
    <t>Detects flames</t>
  </si>
  <si>
    <t>RZ</t>
  </si>
  <si>
    <t>Pset_SanitaryTerminalTypeWashHandBasin.WashHandBasinType: WASHFOUNTAIN</t>
  </si>
  <si>
    <t>Vaskerenne</t>
  </si>
  <si>
    <t>Pset_SanitaryTerminalTypeWashHandBasin.WashHandBasinType: WASHINGTHROUGH</t>
  </si>
  <si>
    <t>Gulvsystemer</t>
  </si>
  <si>
    <t>Temperaturdetektor for brannmelding</t>
  </si>
  <si>
    <t>Prefabrikerte installasjonsgulv med eller uten belegg.</t>
  </si>
  <si>
    <t>FIRESENSOR</t>
  </si>
  <si>
    <t>Gulvsystem datagulv</t>
  </si>
  <si>
    <t>Låskasse</t>
  </si>
  <si>
    <t>Prefabrikkert innstallasjonsgulv med eller uten belegg</t>
  </si>
  <si>
    <t>Vanlig stor</t>
  </si>
  <si>
    <t>Raised floor</t>
  </si>
  <si>
    <t>HANDOPERATEDACTUATOR</t>
  </si>
  <si>
    <t>systemvegg</t>
  </si>
  <si>
    <t>wall elemented</t>
  </si>
  <si>
    <t>Servant HC</t>
  </si>
  <si>
    <t>HC</t>
  </si>
  <si>
    <t>Sink HC</t>
  </si>
  <si>
    <t>Låskasse med vrider</t>
  </si>
  <si>
    <t>med vrider</t>
  </si>
  <si>
    <t xml:space="preserve">Sirkulasjonspumpe </t>
  </si>
  <si>
    <t>Kan være både våtløper og tørrløper</t>
  </si>
  <si>
    <t>Sirculation pump</t>
  </si>
  <si>
    <t>Pumpe</t>
  </si>
  <si>
    <t>Sirkulasjonspumpe</t>
  </si>
  <si>
    <t>computer</t>
  </si>
  <si>
    <t>CIRCULATOR</t>
  </si>
  <si>
    <t>Magnetdørholder</t>
  </si>
  <si>
    <t>Dørholdemagnet på branndør</t>
  </si>
  <si>
    <t>Magnetic door holder</t>
  </si>
  <si>
    <t>Gulvoverflate</t>
  </si>
  <si>
    <t>Omfatter nødvendig forbehandling belegg flis parkett maling eller lignende og listverk.</t>
  </si>
  <si>
    <t xml:space="preserve">Sisterne på WC / innebygget / Urinal </t>
  </si>
  <si>
    <t>Gulvlist</t>
  </si>
  <si>
    <t>dør innvendig innvendig dør innerdør</t>
  </si>
  <si>
    <t>Skirting board</t>
  </si>
  <si>
    <t>door</t>
  </si>
  <si>
    <t>Pset_ActuatorTypeElectricActuator.ElectricActuatorType: MAGNETIC</t>
  </si>
  <si>
    <t>Sisterne</t>
  </si>
  <si>
    <t>CISTERN</t>
  </si>
  <si>
    <t>Magnetlås</t>
  </si>
  <si>
    <t>Magnetlås (tidligere kalt magnetholder)</t>
  </si>
  <si>
    <t>Magnetic doorlock</t>
  </si>
  <si>
    <t>Sittebadekar</t>
  </si>
  <si>
    <t>Skyllekum med oppvarming</t>
  </si>
  <si>
    <t>Nesten sterilisering</t>
  </si>
  <si>
    <t>Brannmelder</t>
  </si>
  <si>
    <t>Pset_SanitaryTerminalTypeSink.SinkType: RINSING</t>
  </si>
  <si>
    <t>Fire alarm</t>
  </si>
  <si>
    <t>Skyllekum</t>
  </si>
  <si>
    <t>Pset_SanitaryTerminalTypeToiletPan.ToiletType: BEDPANWASHER</t>
  </si>
  <si>
    <t>Brannmelder manuell</t>
  </si>
  <si>
    <t>Manuell brannmelder</t>
  </si>
  <si>
    <t xml:space="preserve">Manual fire alarm </t>
  </si>
  <si>
    <t xml:space="preserve">Sluk </t>
  </si>
  <si>
    <t>Sluk med gipsutskiller</t>
  </si>
  <si>
    <t>Orienteringstablå</t>
  </si>
  <si>
    <t>Informasjonsdisplay</t>
  </si>
  <si>
    <t>Information display</t>
  </si>
  <si>
    <t>Slukbrønn</t>
  </si>
  <si>
    <t>foldevegg</t>
  </si>
  <si>
    <t>wall folding</t>
  </si>
  <si>
    <t xml:space="preserve">Slukrenne </t>
  </si>
  <si>
    <t>DISPLAY</t>
  </si>
  <si>
    <t>Vaskekum stor på bein rustfri</t>
  </si>
  <si>
    <t>På storkjøkken for å vaske store kjeler og utstyr</t>
  </si>
  <si>
    <t>Røyklukemotor</t>
  </si>
  <si>
    <t>Pset_SanitaryTerminalTypeSink.SinkType: POT</t>
  </si>
  <si>
    <t>Elektrisk motor</t>
  </si>
  <si>
    <t>Smoke weed Engine electric</t>
  </si>
  <si>
    <t>Taksluk</t>
  </si>
  <si>
    <t>ROOFDRAIN</t>
  </si>
  <si>
    <t>Terapeutisk badekar</t>
  </si>
  <si>
    <t>Pset_SanitaryTerminalTypeBath.BathType: TREATMENT</t>
  </si>
  <si>
    <t>Røyklukemotor trykkluft</t>
  </si>
  <si>
    <t>På trykkluft</t>
  </si>
  <si>
    <t>Smoke weed Engine compressed air</t>
  </si>
  <si>
    <t>PNEUMATICACTUATOR</t>
  </si>
  <si>
    <t>Trafo</t>
  </si>
  <si>
    <t>IfcElectricMotor</t>
  </si>
  <si>
    <t>IfcElectricMotorTypeEnum</t>
  </si>
  <si>
    <t>Toalett HC</t>
  </si>
  <si>
    <t>DC</t>
  </si>
  <si>
    <t>Trafo 230-24 VDC - for dørholdemagnet</t>
  </si>
  <si>
    <t>Adgangskontroll innbrudds- og overfallsalarm</t>
  </si>
  <si>
    <t>Komplett inkludert kursopplegg der dette ikke inngår i 521. Ringeanlegg for inngangsdører ansees som enkle adgangskontrollanlegg.</t>
  </si>
  <si>
    <t>Pset_SanitaryTerminalTypeToiletPan.ToiletPanType: WASHDOWNWALHUNG</t>
  </si>
  <si>
    <t>Overfallsalarm knapp</t>
  </si>
  <si>
    <t>Alarm system button</t>
  </si>
  <si>
    <t>OM</t>
  </si>
  <si>
    <t>Mottaker / Sender</t>
  </si>
  <si>
    <t>Modem Signalmottakere Radiosendere Radiomottaker Alarmsender Posisjonssender Personsøker IR-sender Teleslynge</t>
  </si>
  <si>
    <t>Pset_SanitaryTerminalTypeToiletPan.ToiletPanType: WASHDOWN</t>
  </si>
  <si>
    <t>SKIRTINGBOARD</t>
  </si>
  <si>
    <t>Bryter overfallsalarm</t>
  </si>
  <si>
    <t>Overfallsalarm bryter</t>
  </si>
  <si>
    <t>Toalett klosettskål</t>
  </si>
  <si>
    <t>Alarm system switch</t>
  </si>
  <si>
    <t>Pset_SanitaryTerminalTypeToiletPan.ToiletPanType: LOOSECOUPLED</t>
  </si>
  <si>
    <t>Ferittantenne for overfallsalarm</t>
  </si>
  <si>
    <t>Ferittantenne for overfallsalarm horisontal</t>
  </si>
  <si>
    <t>Ferittantenne</t>
  </si>
  <si>
    <t>Stådo på gulv</t>
  </si>
  <si>
    <t>Pset_SanitaryTerminalTypeToiletPan.ToiletPanType: SQUAT</t>
  </si>
  <si>
    <t>Floor covering</t>
  </si>
  <si>
    <t>gerikt</t>
  </si>
  <si>
    <t>molding</t>
  </si>
  <si>
    <t>Bryter fotbetjent</t>
  </si>
  <si>
    <t>Switch foot serviced</t>
  </si>
  <si>
    <t>TOGGLESWITCH</t>
  </si>
  <si>
    <t>Pset_SwitchingDeviceTypeToggleSwitch.ToggleSwitchType: PUSHBUTTON</t>
  </si>
  <si>
    <t>Toalett klosettskål på gulv</t>
  </si>
  <si>
    <t>På gulv</t>
  </si>
  <si>
    <t>Bryter albuebetjent</t>
  </si>
  <si>
    <t>Hånd-/Albuebetjent</t>
  </si>
  <si>
    <t>Switch elbow serviced</t>
  </si>
  <si>
    <t>FLOORING</t>
  </si>
  <si>
    <t>Banebelegg Vinylbelegg Linoleum Tepper Matter Dørmatter Fliser Skifer Stein Tregulv Parkett Gulvoverflate</t>
  </si>
  <si>
    <t>vindu innvendig innervindu innvendig vindu</t>
  </si>
  <si>
    <t>Impulsbryter</t>
  </si>
  <si>
    <t>window</t>
  </si>
  <si>
    <t>Switch impulse</t>
  </si>
  <si>
    <t>Pset_SanitaryTerminalTypeToiletPan.PanMounting: BACKTOWALL</t>
  </si>
  <si>
    <t>Impulsbryter for lukking av dør</t>
  </si>
  <si>
    <t>Switch impulse for door</t>
  </si>
  <si>
    <t>Faste himlinger og overflatebehandling</t>
  </si>
  <si>
    <t>Plassbygde himlinger utvendig og innvendig inklusive listverk og overflatebehandling.</t>
  </si>
  <si>
    <t>Nedsenket himling</t>
  </si>
  <si>
    <t>skjørt</t>
  </si>
  <si>
    <t>Toalett klosettskål vegghengt</t>
  </si>
  <si>
    <t>suspended wall wall between slab wall between roof suspended ceiling</t>
  </si>
  <si>
    <t>IR detektor vegg</t>
  </si>
  <si>
    <t>Vegghengt</t>
  </si>
  <si>
    <t xml:space="preserve">Nedsenket himling fast </t>
  </si>
  <si>
    <t>Dropped false suspended ceiling</t>
  </si>
  <si>
    <t>EH</t>
  </si>
  <si>
    <t>Himling</t>
  </si>
  <si>
    <t>Himlingsplater Himlingskassetter Himlingsspiler Takplater</t>
  </si>
  <si>
    <t>kledning innvendig innerveggkledning</t>
  </si>
  <si>
    <t>CEILING</t>
  </si>
  <si>
    <t>Bryter snor</t>
  </si>
  <si>
    <t>cladding wall wallcladding</t>
  </si>
  <si>
    <t>Pset_SanitaryTerminalTypeToiletPan.PanMounting: WALLHUNG</t>
  </si>
  <si>
    <t>Snorbryter</t>
  </si>
  <si>
    <t>Pset_CoveringCommon.IsExternal: FALSE</t>
  </si>
  <si>
    <t>Switch string</t>
  </si>
  <si>
    <t>Toalett klosettskål med sisterne</t>
  </si>
  <si>
    <t>Permanent</t>
  </si>
  <si>
    <t>Pset_SanitaryTerminalTypeToiletPan.ToiletType: CLOSECOUPLED</t>
  </si>
  <si>
    <t>Toalett komplett</t>
  </si>
  <si>
    <t>Toalettsete</t>
  </si>
  <si>
    <t>FO</t>
  </si>
  <si>
    <t>Sittebenk / Sofa /Stol</t>
  </si>
  <si>
    <t>Toalettsete klosettsete</t>
  </si>
  <si>
    <t>WCSEAT</t>
  </si>
  <si>
    <t>Tunneldusj</t>
  </si>
  <si>
    <t>brakett innervegg innerveggbrakett</t>
  </si>
  <si>
    <t>??</t>
  </si>
  <si>
    <t>bracket for innerwall</t>
  </si>
  <si>
    <t>Pset_SanitaryTerminalTypeShower.ShowerType: TUNNEL</t>
  </si>
  <si>
    <t>Urinal</t>
  </si>
  <si>
    <t>Vanlig individuelt på vegg</t>
  </si>
  <si>
    <t>Pset_SwitchingDeviceTypeToggleSwitch.ToggleSwitchType: MANUALPULL</t>
  </si>
  <si>
    <t>Undersentral C-node</t>
  </si>
  <si>
    <t>Undersentral</t>
  </si>
  <si>
    <t>Kontrollenhet (se også OS) Subsentraler PLS DDC CPU Node Scenariomodul Logikkmodul Bustilkoblingsmodul Enhet for prosessering i lydsystemer lydmatrise (Digital Matries) Romklangenhet.</t>
  </si>
  <si>
    <t>dekke generisk</t>
  </si>
  <si>
    <t>Etasjeskiller generisk modelleres av ARK i tidlig fase</t>
  </si>
  <si>
    <t>slab</t>
  </si>
  <si>
    <t>Undersentral for posisjonssender</t>
  </si>
  <si>
    <t>Taklist</t>
  </si>
  <si>
    <t>Vaktromspanel for overfallsalarm</t>
  </si>
  <si>
    <t>Pset_SanitaryTerminalTypeUrinal.UrinalType: BOWL</t>
  </si>
  <si>
    <t>dekke bærende bærende dekke</t>
  </si>
  <si>
    <t>Etasjeskiller</t>
  </si>
  <si>
    <t>slab loadbearing</t>
  </si>
  <si>
    <t>Urinal med bunnrenne</t>
  </si>
  <si>
    <t>Individuelt plate på vegg som henger sammen med renne i bunn</t>
  </si>
  <si>
    <t>Systemhimlinger</t>
  </si>
  <si>
    <t>Systemhimlinger samt akustisk regulerende konstruksjoner. Kjølehimling se 351</t>
  </si>
  <si>
    <t>Systemhimling</t>
  </si>
  <si>
    <t>Pset_SanitaryTerminalTypeUrinal.UrinalType: SLAB</t>
  </si>
  <si>
    <t>Urinal gammel type</t>
  </si>
  <si>
    <t>Suspended ceiling</t>
  </si>
  <si>
    <t>Individuelt gammeldags type</t>
  </si>
  <si>
    <t>Pset_SanitaryTerminalTypeUrinal.UrinalType: STALL</t>
  </si>
  <si>
    <t>Pasientsignal</t>
  </si>
  <si>
    <t>Komplett inkludert kursopplegg der dette ikke inngår i 521.</t>
  </si>
  <si>
    <t>Urinalrenne</t>
  </si>
  <si>
    <t>Avstillingspanel</t>
  </si>
  <si>
    <t>Avstillingspanel/Tilstedemarkering med Enkelt Display</t>
  </si>
  <si>
    <t>Pset_SanitaryTerminalTypeUrinal.UrinalType: THROUGH</t>
  </si>
  <si>
    <t>hulldekke</t>
  </si>
  <si>
    <t>slab hollowcore loadbearing</t>
  </si>
  <si>
    <t>Utslagsvask</t>
  </si>
  <si>
    <t>For rengjøring gammeldags utslagsvask</t>
  </si>
  <si>
    <t>Prefabrikkert himling</t>
  </si>
  <si>
    <t xml:space="preserve">Pset_SanitaryTerminalTypeSink.SinkType: CLEANERS </t>
  </si>
  <si>
    <t>Pasientsignal med trekkekontakt - Påvegg</t>
  </si>
  <si>
    <t>Andre installasjoner for alarm og signal</t>
  </si>
  <si>
    <t>Skjørt som integrert del av systemhimling</t>
  </si>
  <si>
    <t>Magnetkontakt innbruddsalarm</t>
  </si>
  <si>
    <t>Registrerer brytning av strøm</t>
  </si>
  <si>
    <t>RG</t>
  </si>
  <si>
    <t>Posisjon/lengde</t>
  </si>
  <si>
    <t>prefab dekker</t>
  </si>
  <si>
    <t>Magnetkontakt datamus pekeredskap</t>
  </si>
  <si>
    <t>slab pre-fab loadbearing</t>
  </si>
  <si>
    <t>Systemhimling skjørt</t>
  </si>
  <si>
    <t>CONTACTSENSOR</t>
  </si>
  <si>
    <t>Utslagsvask med bøtterist</t>
  </si>
  <si>
    <t>Lav for å være enkelt å sette bøtte på eller tømme bøtte</t>
  </si>
  <si>
    <t>Magnetkontakt</t>
  </si>
  <si>
    <t>Pset_SanitaryTerminalTypeSink.SinkType: BUCKET</t>
  </si>
  <si>
    <t>Vakumklosett</t>
  </si>
  <si>
    <t>Lyd og bildesystemer</t>
  </si>
  <si>
    <t>Internfjernsyn</t>
  </si>
  <si>
    <t>Overvåkningsanlegg undervisning m.v.</t>
  </si>
  <si>
    <t>Dome kamera (PTZ-kamera)</t>
  </si>
  <si>
    <t>RA</t>
  </si>
  <si>
    <t>gulv på grunn</t>
  </si>
  <si>
    <t>AV-opptaker</t>
  </si>
  <si>
    <t>Pset_SanitaryTerminalTypeToiletPan.ToiletPanType: SIPHONIC</t>
  </si>
  <si>
    <t>baseslab (mat foundation)</t>
  </si>
  <si>
    <t>Kamera Mikrofon Fotografiapparat</t>
  </si>
  <si>
    <t>CAMERA</t>
  </si>
  <si>
    <t>Pset_AudioVisualApplianceTypeCamera.CameraType: VIDEO</t>
  </si>
  <si>
    <t>Vannbehandling av kaldt vann og varmt forbruksvann</t>
  </si>
  <si>
    <t>Anodisk oksidasjon</t>
  </si>
  <si>
    <t>ME</t>
  </si>
  <si>
    <t>IP-kamera</t>
  </si>
  <si>
    <t>Omfatter delprodukter som er en del av dekker men som ikke inngår i bygningsdelene over.</t>
  </si>
  <si>
    <t>Elektrostatisk filter</t>
  </si>
  <si>
    <t>Isolasjon dekke</t>
  </si>
  <si>
    <t>Ioniserende</t>
  </si>
  <si>
    <t>IP Camera</t>
  </si>
  <si>
    <t>IfcFilter</t>
  </si>
  <si>
    <t>Insulation floor</t>
  </si>
  <si>
    <t>IfcFilterTypeEnum</t>
  </si>
  <si>
    <t>WATERFILTER</t>
  </si>
  <si>
    <t>Pset_FilterTypeWaterfilter.WaterfilterType: PURIFICATION_DEIONIZING</t>
  </si>
  <si>
    <t>IP-kamera innendørs</t>
  </si>
  <si>
    <t>IP Camera indoor</t>
  </si>
  <si>
    <t>Membran</t>
  </si>
  <si>
    <t>Membran tettesjikt</t>
  </si>
  <si>
    <t>Membrane</t>
  </si>
  <si>
    <t>BB</t>
  </si>
  <si>
    <t>Beskyttende / Stoppende</t>
  </si>
  <si>
    <t>Membran Folie Duk Blyskjerm</t>
  </si>
  <si>
    <t>MEMBRANE</t>
  </si>
  <si>
    <t>gulv oppforet golv oppforet oppforet gulv oppforet golv</t>
  </si>
  <si>
    <t>Vannlås</t>
  </si>
  <si>
    <t>Varmtvannsbereder</t>
  </si>
  <si>
    <t>AkkumulatortankStor buffertank</t>
  </si>
  <si>
    <t>NW</t>
  </si>
  <si>
    <t>Vaskekum med sediment fang</t>
  </si>
  <si>
    <t xml:space="preserve">For bruk i gipserom hindre at gips går i rørene. </t>
  </si>
  <si>
    <t>floor reared</t>
  </si>
  <si>
    <t>SinkType: PLASTER</t>
  </si>
  <si>
    <t>VVB VVX pumpe etc</t>
  </si>
  <si>
    <t>Prosesspumper</t>
  </si>
  <si>
    <t>Kamera</t>
  </si>
  <si>
    <t>Process pumps</t>
  </si>
  <si>
    <t>Camera</t>
  </si>
  <si>
    <t>Prosesspumpe</t>
  </si>
  <si>
    <t>Kamera utendørs</t>
  </si>
  <si>
    <t>Øyevask / øyespyler</t>
  </si>
  <si>
    <t>Nød</t>
  </si>
  <si>
    <t>Camera outdoor</t>
  </si>
  <si>
    <t>Eyewasher (emergency)</t>
  </si>
  <si>
    <t>gulv påstøp gulvpåstøp golvpåstøp</t>
  </si>
  <si>
    <t xml:space="preserve">UV </t>
  </si>
  <si>
    <t>Tettesjikt</t>
  </si>
  <si>
    <t>Plate tettesjikt</t>
  </si>
  <si>
    <t>Board sealing</t>
  </si>
  <si>
    <t>AP</t>
  </si>
  <si>
    <t>Plate</t>
  </si>
  <si>
    <t>Bygningsmessige plater: Veggplater Gulvplater Gipsplater Sponplater Trefiberplater Finérplater</t>
  </si>
  <si>
    <t>Lydanlegg</t>
  </si>
  <si>
    <t>For lydforsterkning internt i rom inklusive utstyr for overføring til høreapparater (teleslynge radiooverdrag IR-overføring m.v.).</t>
  </si>
  <si>
    <t>Speaker</t>
  </si>
  <si>
    <t>Yttertak</t>
  </si>
  <si>
    <t>Primærkonstruksjon</t>
  </si>
  <si>
    <t>Inkluderer også oppfôrede tak. Omfatter selve hovedkonstruksjonen (Med alle nødvendige detaljer) Inklusive isolasjon og undertaksbelegg. (Sperrer åser takstoler trakto m.m. samt isolasjon med tilhørende spikerslag.)</t>
  </si>
  <si>
    <t>Tak 1</t>
  </si>
  <si>
    <t>floor screed integral cast concrete topping</t>
  </si>
  <si>
    <t>FountainType: EYEWASH</t>
  </si>
  <si>
    <t>Isolasjon av sanitærinstallasjoner</t>
  </si>
  <si>
    <t>Isolasjon av ledninger armaturer og utstyr. Omfatter også overflatekledning av isolasjon. Ferdigisolerte ledninger og utstyr beskrives under 311 312 314 og 315.</t>
  </si>
  <si>
    <t>Isolasjon sanitærinstallasjoner</t>
  </si>
  <si>
    <t>Tak eksportert som takobjekt</t>
  </si>
  <si>
    <t>Roof</t>
  </si>
  <si>
    <t>Varme</t>
  </si>
  <si>
    <t>Roof exported as roof object</t>
  </si>
  <si>
    <t>Bunnledninger for varmeinstallasjoner</t>
  </si>
  <si>
    <t>IfcRoof</t>
  </si>
  <si>
    <t>Ledninger i grunnen under gulv</t>
  </si>
  <si>
    <t>Rør bunnledning varme</t>
  </si>
  <si>
    <t>gulvsystem datagulv datagulv datagolv</t>
  </si>
  <si>
    <t>raised floor
computer</t>
  </si>
  <si>
    <t>Kryss bunnledning varme</t>
  </si>
  <si>
    <t>Kryss i bunnledninger varme</t>
  </si>
  <si>
    <t>Mikrofon</t>
  </si>
  <si>
    <t>Microphone</t>
  </si>
  <si>
    <t>MICROPHONE</t>
  </si>
  <si>
    <t>Teleslynge</t>
  </si>
  <si>
    <t>Telecoil</t>
  </si>
  <si>
    <t>gulvlist golvlist</t>
  </si>
  <si>
    <t>skirting board</t>
  </si>
  <si>
    <t>Teleslynge i gulv</t>
  </si>
  <si>
    <t>Telecoil floor</t>
  </si>
  <si>
    <t>Teleslynge i skranke</t>
  </si>
  <si>
    <t>Tak 2</t>
  </si>
  <si>
    <t>Tak eksportert som dekkeobjekt</t>
  </si>
  <si>
    <t>Telecoil in desk</t>
  </si>
  <si>
    <t>T-kryss bunnledning varme</t>
  </si>
  <si>
    <t>Roof exported as slab object</t>
  </si>
  <si>
    <t>ROOF</t>
  </si>
  <si>
    <t>Taktekking</t>
  </si>
  <si>
    <t>Inkluderer eventuell isolasjon på oversiden av primærkonstruksjonen samt beslag (gradrenner skottrenner kilerenner mv.).</t>
  </si>
  <si>
    <t>Bend bunnledning varme</t>
  </si>
  <si>
    <t>Roofing</t>
  </si>
  <si>
    <t>gulvoverflate golvoverflate</t>
  </si>
  <si>
    <t>Gulvoverflate
Banebelegg Vinylbelegg Linoleum Tepper Matter Dørmatter Fliser Skifer Stein Tregulv Parkett Gulvoverflate</t>
  </si>
  <si>
    <t>Bilde og AV-systemer</t>
  </si>
  <si>
    <t>ROOFING</t>
  </si>
  <si>
    <t>Benyttes for informasjons- og AV-anlegg inklusive tavler og skjermer som inngår i dette. I terminalutstyr inngår bl.a. Fremvisere skjermer monitorer mikrofoner høyttalere og tavler som er integrert i AV-anlegg.Internfjernsyn (ITV) se 553. Separate tavler og AV-skap se 277.</t>
  </si>
  <si>
    <t>AV-skjerm</t>
  </si>
  <si>
    <t>AV-skjerm flatskjerm (ca. 50" inkl. høyttalere)</t>
  </si>
  <si>
    <t>floor covering</t>
  </si>
  <si>
    <t>AV system display</t>
  </si>
  <si>
    <t>UM</t>
  </si>
  <si>
    <t>Ledningsnett for varmeinstallasjoner</t>
  </si>
  <si>
    <t>Rør varme</t>
  </si>
  <si>
    <t>Kryss varme</t>
  </si>
  <si>
    <t>Kryss i varmeinstallasjon</t>
  </si>
  <si>
    <t>Monitor / Display</t>
  </si>
  <si>
    <t>TV-skjerm Dataskjermer Display Digitalt viserinstument</t>
  </si>
  <si>
    <t>Glasstak overlys takluker</t>
  </si>
  <si>
    <t>Inkluderer beslag og motordrift for luker. Separat bæresystem se 22.</t>
  </si>
  <si>
    <t>Glasstak</t>
  </si>
  <si>
    <t>Glass roof sloped glazing</t>
  </si>
  <si>
    <t>nedsenket himling</t>
  </si>
  <si>
    <t>dropped false suspended ceiling 
permanent</t>
  </si>
  <si>
    <t>T-kryss varme</t>
  </si>
  <si>
    <t>Dome kamera</t>
  </si>
  <si>
    <t>Overlys</t>
  </si>
  <si>
    <t>taklist</t>
  </si>
  <si>
    <t>Bend varme</t>
  </si>
  <si>
    <t>Dome kamera (IP PTZ)</t>
  </si>
  <si>
    <t>Dome camera</t>
  </si>
  <si>
    <t>Skylight</t>
  </si>
  <si>
    <t>Rørfordelerskap gulvvarme</t>
  </si>
  <si>
    <t>Pipe manifold</t>
  </si>
  <si>
    <t>Dørbryter AV-anlegg</t>
  </si>
  <si>
    <t>Switch door AV System</t>
  </si>
  <si>
    <t>IfcWindowTypeEnum</t>
  </si>
  <si>
    <t>SKYLIGHT</t>
  </si>
  <si>
    <t>systemhimling</t>
  </si>
  <si>
    <t>Systemhimling
Prefabrikkert himling</t>
  </si>
  <si>
    <t>suspended ceiling</t>
  </si>
  <si>
    <t>INFO-skjerm</t>
  </si>
  <si>
    <t>Light dome</t>
  </si>
  <si>
    <t>INFO-skjerm flatskjerm  ikke høyttalere</t>
  </si>
  <si>
    <t>Info display</t>
  </si>
  <si>
    <t>Armaturer for varmeinstallasjoner</t>
  </si>
  <si>
    <t>Ventiler og andre armaturer i ledningsnett. Armaturer inkludert i utstyrsleveranse se 325.</t>
  </si>
  <si>
    <t>Takluke</t>
  </si>
  <si>
    <t>Roof hatch trapdoor</t>
  </si>
  <si>
    <t>Differansetrykkregulator</t>
  </si>
  <si>
    <t>Reguleringsventil for konstant differansetrykk</t>
  </si>
  <si>
    <t>Renseluker Inspeksjonsluker Brannluker Røykluker Overlysluker Tilfluktsromsluker Seglass Tomdel Inspeksjonsdel Kumlokk</t>
  </si>
  <si>
    <t>differential pressure controller</t>
  </si>
  <si>
    <t>IfcDoorTypeEnum</t>
  </si>
  <si>
    <t>TRAPDOOR</t>
  </si>
  <si>
    <t>systemhimling skjørt</t>
  </si>
  <si>
    <t>SP</t>
  </si>
  <si>
    <t>IPTV mottaker</t>
  </si>
  <si>
    <t>IPTV mottaker flatskjerm inkl. høyttalere)</t>
  </si>
  <si>
    <t>Trykkutjevningsventil</t>
  </si>
  <si>
    <t>IPTV receiver</t>
  </si>
  <si>
    <t>Takoppbygg</t>
  </si>
  <si>
    <t>Omfatter arker takløft eller lignende med komplett konstruksjon kledning og overflatbehandling.</t>
  </si>
  <si>
    <t>Takoppbygg komplett inkl. taktekking</t>
  </si>
  <si>
    <t>Pset_ValveTypeCommon.ValveMechanism: OTHER</t>
  </si>
  <si>
    <t>Dormer</t>
  </si>
  <si>
    <t>Mottakerantenne</t>
  </si>
  <si>
    <t>CD</t>
  </si>
  <si>
    <t>Karnapp</t>
  </si>
  <si>
    <t>isolasjon dekke dekkeisolasjon</t>
  </si>
  <si>
    <t>insulation floor</t>
  </si>
  <si>
    <t>Gesimser takrenner og nedløp</t>
  </si>
  <si>
    <t>Gesimser inkluderer kledning og beslag.</t>
  </si>
  <si>
    <t>Gesims</t>
  </si>
  <si>
    <t>Overgang vegg tak list utsmykning</t>
  </si>
  <si>
    <t>Cornice</t>
  </si>
  <si>
    <t>Pset_ValveTypeCommon.Valveoperation: SPRING</t>
  </si>
  <si>
    <t>membran</t>
  </si>
  <si>
    <t>membrane</t>
  </si>
  <si>
    <t>Downspout</t>
  </si>
  <si>
    <t>KQ</t>
  </si>
  <si>
    <t>Rør - spesielt</t>
  </si>
  <si>
    <t>Oljerør Eksosrør Røkgass Rørpostrør Trekkerør Elektrikerrør Takrenner Taknedløp</t>
  </si>
  <si>
    <t>Mottakerantenne mikrofon</t>
  </si>
  <si>
    <t>Takrenne</t>
  </si>
  <si>
    <t>Mottakerantenne for trådløs mikrofon</t>
  </si>
  <si>
    <t>Gutter</t>
  </si>
  <si>
    <t>GUTTER</t>
  </si>
  <si>
    <t>Strupeventil bløde</t>
  </si>
  <si>
    <t>tettesjikt</t>
  </si>
  <si>
    <t>board sealing</t>
  </si>
  <si>
    <t>Himling og innvendig overflate</t>
  </si>
  <si>
    <t>Blødeventil i varmekurs / kjølekurs</t>
  </si>
  <si>
    <t>Nedsenket himling utendørs</t>
  </si>
  <si>
    <t>Nedsenket utvendig himling</t>
  </si>
  <si>
    <t>Berøringsfølsom bildeskjerm</t>
  </si>
  <si>
    <t>RPSM-skjerm Berøringsfølsom bildeskjerm</t>
  </si>
  <si>
    <t>Dropped false suspended external ceiling</t>
  </si>
  <si>
    <t>Pset_CoveringCommon.IsExternal: TRUE</t>
  </si>
  <si>
    <t>Pset_AudioVisualApplianceTypeDisplay.TouchScreen: MULTITOUCH</t>
  </si>
  <si>
    <t>Prefabrikkerte takelementer</t>
  </si>
  <si>
    <t>Omfatter komplette elementer.</t>
  </si>
  <si>
    <t>Takelement prefabrikert</t>
  </si>
  <si>
    <t>Styrepanel berøringsskjerm</t>
  </si>
  <si>
    <t>Roof element pre-fab</t>
  </si>
  <si>
    <t>Touch Panel</t>
  </si>
  <si>
    <t>XP</t>
  </si>
  <si>
    <t>Komponenter for måling og prøving</t>
  </si>
  <si>
    <t>Visende og registrerende måleinstrumenter Instument med visere Viserinstrument</t>
  </si>
  <si>
    <t>tak generisk generisk tak</t>
  </si>
  <si>
    <t>Takgenerisk alle typer tak eksportert som takobjekt modelleres av ARK i tidlig fase</t>
  </si>
  <si>
    <t>roof</t>
  </si>
  <si>
    <t>Styrepanel integrert knappepanel</t>
  </si>
  <si>
    <t>Omfatter delprodukter som er en del av yttertak men som ikke inngår i bygningsdelene over.</t>
  </si>
  <si>
    <t>Uttak AV</t>
  </si>
  <si>
    <t>tak</t>
  </si>
  <si>
    <t>Vegguttak for AV</t>
  </si>
  <si>
    <t>Parapet</t>
  </si>
  <si>
    <t>Output AV</t>
  </si>
  <si>
    <t>Tak alle typer tak eksportert som takobjekt</t>
  </si>
  <si>
    <t>UR</t>
  </si>
  <si>
    <t>Uttak radio</t>
  </si>
  <si>
    <t>Parapet/brystning</t>
  </si>
  <si>
    <t>Uttak "lyd" Kontakt for radio/musikk Uttakspanel</t>
  </si>
  <si>
    <t>DATA</t>
  </si>
  <si>
    <t>Videokonferansekamera (PTZ)</t>
  </si>
  <si>
    <t>Videoconferencing Camera</t>
  </si>
  <si>
    <t>OA</t>
  </si>
  <si>
    <t>Strupeventil regulering</t>
  </si>
  <si>
    <t>AV-maskiner</t>
  </si>
  <si>
    <t>Lyd og Bilde: Videomaskiner Videokanoner Transview Filmfremvisere Båndopptagere kassettspillere CD-spillere Projektor Projector DVD-spiller</t>
  </si>
  <si>
    <t>Reg.ventil for varme og kjøling</t>
  </si>
  <si>
    <t>PARAPET</t>
  </si>
  <si>
    <t>Videoprosjektør</t>
  </si>
  <si>
    <t>Video Projector</t>
  </si>
  <si>
    <t>Opphøyet kant som stikker opp over tak</t>
  </si>
  <si>
    <t>tak flat flatt tak tak flatt</t>
  </si>
  <si>
    <t>Tak flat tak eksportert som dekkeobjekt</t>
  </si>
  <si>
    <t>Vindski og dekkbord</t>
  </si>
  <si>
    <t>Vindski</t>
  </si>
  <si>
    <t>Bargeboard and fascia</t>
  </si>
  <si>
    <t>PROJECTOR</t>
  </si>
  <si>
    <t>Fast inventar</t>
  </si>
  <si>
    <t>CO giver</t>
  </si>
  <si>
    <t>Murte piper og ildsteder</t>
  </si>
  <si>
    <t>Omfatter også piper murt av etasjehøye pipeelementer.</t>
  </si>
  <si>
    <t>Pipe og ildsted murt</t>
  </si>
  <si>
    <t>pipe og ildsted murt</t>
  </si>
  <si>
    <t>Chimney and fire place built on-site</t>
  </si>
  <si>
    <t>CP</t>
  </si>
  <si>
    <t>Pipe / Skostein</t>
  </si>
  <si>
    <t>CO2-føler</t>
  </si>
  <si>
    <t>CO2-føler giver</t>
  </si>
  <si>
    <t>CO2 sensor</t>
  </si>
  <si>
    <t>CO2SENSOR</t>
  </si>
  <si>
    <t>Utstyr for varmeinstallasjoner</t>
  </si>
  <si>
    <t>Prefabrikkerte piper pumper varmevekslere kjeler radiatorer m.m.</t>
  </si>
  <si>
    <t>Ekspansjonstank</t>
  </si>
  <si>
    <t>Tank for oppsamling av væske ved trykkøkning</t>
  </si>
  <si>
    <t>Fuktgiver</t>
  </si>
  <si>
    <t>Pressure expansion vessel</t>
  </si>
  <si>
    <t>Relativ fuktighet i luft</t>
  </si>
  <si>
    <t>Eksosrør Røykrør</t>
  </si>
  <si>
    <t>IfcChimney</t>
  </si>
  <si>
    <t>HUMIDITYSENSOR</t>
  </si>
  <si>
    <t>EXPANSION</t>
  </si>
  <si>
    <t>taktekking</t>
  </si>
  <si>
    <t>roofing</t>
  </si>
  <si>
    <t>Monteringsferdige ildsteder</t>
  </si>
  <si>
    <t>Gjelder monteringsferdige enheter. Fyrkjeler og prefabrikerte piper se 325.</t>
  </si>
  <si>
    <t>Pipe og ildsted prefabribert</t>
  </si>
  <si>
    <t>pipe og ildsted prefabrikert</t>
  </si>
  <si>
    <t>Chimney and fire place pre-fab</t>
  </si>
  <si>
    <t>Manometer</t>
  </si>
  <si>
    <t>Elektrokjel varmeanlegg</t>
  </si>
  <si>
    <t>Måler og viser trykk analogt</t>
  </si>
  <si>
    <t>RQ</t>
  </si>
  <si>
    <t>Manometer Trykkmåler</t>
  </si>
  <si>
    <t>Teknisk rom utstyr</t>
  </si>
  <si>
    <t>Avlesning av trykk og differansetrykkmåler U-rør Visende instrumenter - manuell avlesning</t>
  </si>
  <si>
    <t>Kjøkkeninnredning</t>
  </si>
  <si>
    <t>Skap benker e.l. for kjøkken samt minikjøkken inklusive innebygde hvitevarer. Storkjøkkenutstyr se 66 og 67.</t>
  </si>
  <si>
    <t>PRESSURESENSOR</t>
  </si>
  <si>
    <t>Fryser</t>
  </si>
  <si>
    <t>Electrical water heater for heating</t>
  </si>
  <si>
    <t>Freezer</t>
  </si>
  <si>
    <t>GF</t>
  </si>
  <si>
    <t>Fryseskap</t>
  </si>
  <si>
    <t>Fryseboks Frysedisk</t>
  </si>
  <si>
    <t>IfcElectricAppliance</t>
  </si>
  <si>
    <t>IfcElectricApplianceTypeEnum</t>
  </si>
  <si>
    <t>FREEZER</t>
  </si>
  <si>
    <t>Pir føler</t>
  </si>
  <si>
    <t>Passiv infra red føler</t>
  </si>
  <si>
    <t>Pir (Passive infra red) sensor</t>
  </si>
  <si>
    <t>Kjøkkeninnredning fast inventar</t>
  </si>
  <si>
    <t>Kitchen case work / kitchen cabinets</t>
  </si>
  <si>
    <t>FB</t>
  </si>
  <si>
    <t>Benk / Bord / Plate / Tavle</t>
  </si>
  <si>
    <t>Arbeidsbenker Arbeidsbord Skrivebord Oppslagstavler Skrivetavle Whiteboard</t>
  </si>
  <si>
    <t>glasstak</t>
  </si>
  <si>
    <t>Romføler</t>
  </si>
  <si>
    <t>IfcFurniture</t>
  </si>
  <si>
    <t>glass roof sloped glazing</t>
  </si>
  <si>
    <t>Kjøleskap</t>
  </si>
  <si>
    <t>Refrigerator</t>
  </si>
  <si>
    <t>GK</t>
  </si>
  <si>
    <t>Kjøleskap / Kjøledisk</t>
  </si>
  <si>
    <t>REFRIGERATOR</t>
  </si>
  <si>
    <t>Romføler sone</t>
  </si>
  <si>
    <t>Romføler til soneregulator</t>
  </si>
  <si>
    <t>Spjeldmotor</t>
  </si>
  <si>
    <t>Håndkletørker med vannvarme</t>
  </si>
  <si>
    <t>Start og endepunkt for et distribusjonssystem</t>
  </si>
  <si>
    <t>overlys</t>
  </si>
  <si>
    <t>Komfyr</t>
  </si>
  <si>
    <t>Towelwarmer / -drier</t>
  </si>
  <si>
    <t>skylight
light dome</t>
  </si>
  <si>
    <t>Electric cooker stove</t>
  </si>
  <si>
    <t>GM</t>
  </si>
  <si>
    <t>Mattilbereding</t>
  </si>
  <si>
    <t>Gryter Panner Komfyr Mikrobølgeovn Plater Stekebord Kokeskap Dampskap</t>
  </si>
  <si>
    <t>Strømningsmåler vann</t>
  </si>
  <si>
    <t>Måler og viser strømningsmengde væske</t>
  </si>
  <si>
    <t>Flow control unit</t>
  </si>
  <si>
    <t>IfcFlowmeter</t>
  </si>
  <si>
    <t>IfcFlowMeterTypeEnum</t>
  </si>
  <si>
    <t>WATERMETER</t>
  </si>
  <si>
    <t>Temperaturføler vannbåren varme</t>
  </si>
  <si>
    <t>Temperaturføler - Gulv for vannbåren varme</t>
  </si>
  <si>
    <t>ELECTRICCOOKER</t>
  </si>
  <si>
    <t>Pset_ElectricApplianceTypeElectricCooker.ElectricCookerType: STOVE</t>
  </si>
  <si>
    <t>Oppvaskmaskin</t>
  </si>
  <si>
    <t>Dishwasher</t>
  </si>
  <si>
    <t>Temperaturføler ventilasjonskanal</t>
  </si>
  <si>
    <t>GV</t>
  </si>
  <si>
    <t>Temperaturføler i ventilasjonskanal</t>
  </si>
  <si>
    <t>Vaskemaskin</t>
  </si>
  <si>
    <t>Klær Mopper Instrumentvaskemasin Oppvaskemaskiner</t>
  </si>
  <si>
    <t>takluke</t>
  </si>
  <si>
    <t>DISHWASHER</t>
  </si>
  <si>
    <t>Pset_ElectricApplianceTypeDishwasher.DishwasherType: DISHWASHER</t>
  </si>
  <si>
    <t>roof hatch trapdoor</t>
  </si>
  <si>
    <t>Innredning og garnityr for våtrom</t>
  </si>
  <si>
    <t>Baderomsinnredning spanskvegger m.m. Sanitærutstyr se 315.</t>
  </si>
  <si>
    <t>Temperaturføler utendørs SD-anlegg</t>
  </si>
  <si>
    <t>Bathub</t>
  </si>
  <si>
    <t>Varmeflate</t>
  </si>
  <si>
    <t>Radiator</t>
  </si>
  <si>
    <t xml:space="preserve">IfcSpaceHeater </t>
  </si>
  <si>
    <t>takoppbygg</t>
  </si>
  <si>
    <t>Baderomsinnredning</t>
  </si>
  <si>
    <t>RADIATOR</t>
  </si>
  <si>
    <t>Baderomsinnredning fast inventar</t>
  </si>
  <si>
    <t>dormer</t>
  </si>
  <si>
    <t>Pset_SpaceHeaterTypeCommon.PlacementType: TOWELWARMER</t>
  </si>
  <si>
    <t>Temperaturføler</t>
  </si>
  <si>
    <t>Dusjhjørne</t>
  </si>
  <si>
    <t>Shower cabinet</t>
  </si>
  <si>
    <t>Kabinett Dusjhjørne Dusjkabinett (prefabrikkert)</t>
  </si>
  <si>
    <t>Pset_SpaceHeaterTypeCommon.TemperaturClassification: LOWTEMPERATURE</t>
  </si>
  <si>
    <t>gesims</t>
  </si>
  <si>
    <t>Pset_SpaceHeaterTypeCommon.HeatTransferMedium: WATER</t>
  </si>
  <si>
    <t>cornice</t>
  </si>
  <si>
    <t>Termometer</t>
  </si>
  <si>
    <t>Måler og viser temperatur analogt</t>
  </si>
  <si>
    <t>RI</t>
  </si>
  <si>
    <t>Avlesning av temperatur Visende instrumenter - manuell avlesning</t>
  </si>
  <si>
    <t>IfcFlowInstrument</t>
  </si>
  <si>
    <t>IfcFlowInstrumentTypeEnum</t>
  </si>
  <si>
    <t>THERMOMETER</t>
  </si>
  <si>
    <t>Servanter Vasker Vaskekummer Utslagsvask</t>
  </si>
  <si>
    <t>Toilet</t>
  </si>
  <si>
    <t>Konvektor med ventilhus uten egen vifte</t>
  </si>
  <si>
    <t>nedløp</t>
  </si>
  <si>
    <t>downspout</t>
  </si>
  <si>
    <t>Toaletter Klosett Bidé WC Urinal Pissoar</t>
  </si>
  <si>
    <t xml:space="preserve">Trafo 230-24 VAC </t>
  </si>
  <si>
    <t>Tørketrommel</t>
  </si>
  <si>
    <t>Tumbledryer</t>
  </si>
  <si>
    <t xml:space="preserve">LV - </t>
  </si>
  <si>
    <t>TUMBLEDRYER</t>
  </si>
  <si>
    <t xml:space="preserve">Trykkgiver </t>
  </si>
  <si>
    <t>Varmeomformende (LH benyttes feilaktig)</t>
  </si>
  <si>
    <t>RP</t>
  </si>
  <si>
    <t>Trykkgiver</t>
  </si>
  <si>
    <t>Trykkføler Trykktransmitter Vakumføler</t>
  </si>
  <si>
    <t>Konvektor</t>
  </si>
  <si>
    <t>takrenne</t>
  </si>
  <si>
    <t>gutter</t>
  </si>
  <si>
    <t>Pset_SpaceHeaterTypeConvector.ConvectorType: NATURAL</t>
  </si>
  <si>
    <t>Washing machine</t>
  </si>
  <si>
    <t>Vacumgiver</t>
  </si>
  <si>
    <t>WASHINGMACHINE</t>
  </si>
  <si>
    <t>Skap og reoler</t>
  </si>
  <si>
    <t>Fast montert innredning for lager oppholds- og soverom m.m..</t>
  </si>
  <si>
    <t>nedsenket himling utendørs nedsenket utvendig himling himling nedsenket utvendig</t>
  </si>
  <si>
    <t>Cabinets</t>
  </si>
  <si>
    <t>FH</t>
  </si>
  <si>
    <t>Hylle / Reol</t>
  </si>
  <si>
    <t>Vannvakt</t>
  </si>
  <si>
    <t>Lekkasjevakt (utfelt fuktighet/vann)</t>
  </si>
  <si>
    <t>QH</t>
  </si>
  <si>
    <t>Fuktvakt</t>
  </si>
  <si>
    <t>Hygostat Vannvakt Regnvakt (QH90) Snøvakt (QH99)</t>
  </si>
  <si>
    <t>IfcFurnitureTypeEnum</t>
  </si>
  <si>
    <t>SHELF</t>
  </si>
  <si>
    <t>dropped false suspended external ceiling</t>
  </si>
  <si>
    <t>Sittebenker stolrader bord</t>
  </si>
  <si>
    <t>Ventilmotor</t>
  </si>
  <si>
    <t>Fast monterte møbler i f.eks. auditorier kinoer innendørs vrimlearealer m.m.</t>
  </si>
  <si>
    <t>Bord og arbeidsbenk</t>
  </si>
  <si>
    <t>Workbench and table</t>
  </si>
  <si>
    <t>Circulation pump</t>
  </si>
  <si>
    <t>Ventilmotor Aerotemp LON</t>
  </si>
  <si>
    <t>TABLE</t>
  </si>
  <si>
    <t>Radiator hygieneutførelse</t>
  </si>
  <si>
    <t>Radiator hygienic</t>
  </si>
  <si>
    <t>Sittebenk og sofa</t>
  </si>
  <si>
    <t>Bench couch and sofa</t>
  </si>
  <si>
    <t>Ventilmotor Fancoil 24VAC 0-10V</t>
  </si>
  <si>
    <t>Pset_SpaceHeaterTypeRadiator.Radiatortype: OTHER</t>
  </si>
  <si>
    <t>SOFA</t>
  </si>
  <si>
    <t>takelement prefabrikert prefabrikert takelement</t>
  </si>
  <si>
    <t>roof element pre-fab</t>
  </si>
  <si>
    <t>Stol og stolerader</t>
  </si>
  <si>
    <t>Chair</t>
  </si>
  <si>
    <t>Ventilmotor Fancoil LON</t>
  </si>
  <si>
    <t>FP</t>
  </si>
  <si>
    <t>CHAIR</t>
  </si>
  <si>
    <t>Skilt og tavler</t>
  </si>
  <si>
    <t>Opplysnings- og henvisningsskilt samt oppslags- og skrivetavler AV-skap for møterom m.m.</t>
  </si>
  <si>
    <t>Ventilmotor Gulvarme LON</t>
  </si>
  <si>
    <t>Radiator med ventilhus plan front</t>
  </si>
  <si>
    <t>parapet</t>
  </si>
  <si>
    <t>Radiator flat front with valve house</t>
  </si>
  <si>
    <t>Parapet/brystning
Opphøyet kant som stikker opp over tak</t>
  </si>
  <si>
    <t>Andre deler av fast inventar</t>
  </si>
  <si>
    <t>Ventilert arbeidsplass</t>
  </si>
  <si>
    <t>Ventilmotor Kjølebaffel 24VAC 0-10V</t>
  </si>
  <si>
    <t>Ventilert arbeidsplass komplett system</t>
  </si>
  <si>
    <t>Ventilated workstation</t>
  </si>
  <si>
    <t>FA</t>
  </si>
  <si>
    <t>Avtrekkskap Avtrekksbenker LAF-Benk Punktavsug Næravsug Kjøkkenhetter Avtrekkshetter</t>
  </si>
  <si>
    <t>Trapper balkonger mm.</t>
  </si>
  <si>
    <t>Innvendige trapper</t>
  </si>
  <si>
    <t>Ventilmotor Kjølebaffel LON</t>
  </si>
  <si>
    <t>Inkluderer repos og rekkverk/håndlist samt belegg og overflatebehandling.</t>
  </si>
  <si>
    <t>Pset_SpaceHeaterTypeRadiator.Radiatortype: PANEL</t>
  </si>
  <si>
    <t>Trapp innvendig</t>
  </si>
  <si>
    <t>Stair internal</t>
  </si>
  <si>
    <t>vindski dekkbord</t>
  </si>
  <si>
    <t>IfcStair</t>
  </si>
  <si>
    <t>Pset_StairCommon.IsExternal: FALSE</t>
  </si>
  <si>
    <t>bargeboard and fascia</t>
  </si>
  <si>
    <t>Utvendige trapper</t>
  </si>
  <si>
    <t>Omfatter trapper knyttet til bygget. Inkluderer repos og rekkverk/håndlist samt belegg og overflatebehandling. Trapper i terreng se 722.</t>
  </si>
  <si>
    <t>Ventilmotor Kjølebatteri LON</t>
  </si>
  <si>
    <t>Pset_StairCommon.IsExternal: TRUE</t>
  </si>
  <si>
    <t>Ramper</t>
  </si>
  <si>
    <t>Omfatter ramper som ikke inngår i 251 eller 252.</t>
  </si>
  <si>
    <t>Rampe</t>
  </si>
  <si>
    <t>Ramp</t>
  </si>
  <si>
    <t>CG</t>
  </si>
  <si>
    <t>Rampe / Repos</t>
  </si>
  <si>
    <t>Gangbaner Rullestolramper Elefantrist (repoer)Store rister (for mindre rister benyttes MR)</t>
  </si>
  <si>
    <t>IfcRamp</t>
  </si>
  <si>
    <t>Radiator ribberør</t>
  </si>
  <si>
    <t>pipe murt murt pipe</t>
  </si>
  <si>
    <t>Ventilmotor Radiator LON</t>
  </si>
  <si>
    <t>Radiator ribs / fins</t>
  </si>
  <si>
    <t>chimney built on-site</t>
  </si>
  <si>
    <t>Pset_SpaceHeaterTypeRadiator.Radiatortype: FINNEDTUBE</t>
  </si>
  <si>
    <t>Balkonger og verandaer</t>
  </si>
  <si>
    <t>Inkluderer bæresystem som er spesielt for balkonger samt belegg og rekkverk. Omfatter også svalganger. Takterrasse se 26</t>
  </si>
  <si>
    <t>Dekke balkong</t>
  </si>
  <si>
    <t>Slap balcony</t>
  </si>
  <si>
    <t>CB</t>
  </si>
  <si>
    <t>Balkong</t>
  </si>
  <si>
    <t>Ventilmotor Varmebatteri LON</t>
  </si>
  <si>
    <t>Radiator uten ventilhus plan front</t>
  </si>
  <si>
    <t>Rekkverk balkong</t>
  </si>
  <si>
    <t>Railing balcony</t>
  </si>
  <si>
    <t>Radiator flat front without valve house</t>
  </si>
  <si>
    <t>Buss-systemer</t>
  </si>
  <si>
    <t>IfcRailing</t>
  </si>
  <si>
    <t>IfcRailingTypeEnum</t>
  </si>
  <si>
    <t>Bryter 1-kanals</t>
  </si>
  <si>
    <t>BALUSTRADE</t>
  </si>
  <si>
    <t>Switch 1-chanell</t>
  </si>
  <si>
    <t>pipe prefabrikert prefabribert pipe</t>
  </si>
  <si>
    <t>chimney pre-fab</t>
  </si>
  <si>
    <t>Akustikkføler</t>
  </si>
  <si>
    <t>Brukes til å føle tilstedeværelse i f.eks. trapp</t>
  </si>
  <si>
    <t>SOUNDSENSOR</t>
  </si>
  <si>
    <t>Vegg balkong</t>
  </si>
  <si>
    <t>Wall balcony</t>
  </si>
  <si>
    <t>Gateway</t>
  </si>
  <si>
    <t>XZ</t>
  </si>
  <si>
    <t>Terminering og tilpasning</t>
  </si>
  <si>
    <t>Inngangsmodul Utgangsmodul Inngangskort Utgangskort I/O-board Gateway Linjemodul Sløyfekort Adresseenhet Interface Grensesnitt</t>
  </si>
  <si>
    <t>fryser</t>
  </si>
  <si>
    <t>Tribuner og amfier</t>
  </si>
  <si>
    <t>freezer</t>
  </si>
  <si>
    <t>GATEWAY</t>
  </si>
  <si>
    <t>KNX - Dali Gateway</t>
  </si>
  <si>
    <t>Amphi</t>
  </si>
  <si>
    <t>kjøkkeninnredning fast inventar</t>
  </si>
  <si>
    <t>Baldakiner og skjermtak</t>
  </si>
  <si>
    <t xml:space="preserve">Baldachin and canopy </t>
  </si>
  <si>
    <t>kitchen case work kitchen cabinets</t>
  </si>
  <si>
    <t xml:space="preserve">Bevegelsesføler </t>
  </si>
  <si>
    <t>Water treatment</t>
  </si>
  <si>
    <t>Andre rekkverk håndlister og fendere</t>
  </si>
  <si>
    <t>Fendere</t>
  </si>
  <si>
    <t xml:space="preserve">Fendere typisk i korridorer </t>
  </si>
  <si>
    <t>Wall fender</t>
  </si>
  <si>
    <t>Varmevekslere</t>
  </si>
  <si>
    <t>Heat recovery air to air</t>
  </si>
  <si>
    <t>LV</t>
  </si>
  <si>
    <t>Varmeomformende</t>
  </si>
  <si>
    <t>Varmeveksler</t>
  </si>
  <si>
    <t>IfcAirToAirHeatRecovery</t>
  </si>
  <si>
    <t>Håndlister</t>
  </si>
  <si>
    <t xml:space="preserve">Håndlister typisk i korridorer </t>
  </si>
  <si>
    <t>Handrail</t>
  </si>
  <si>
    <t>kjøleskap</t>
  </si>
  <si>
    <t>refrigerator</t>
  </si>
  <si>
    <t>HANDRAIL</t>
  </si>
  <si>
    <t>Isolasjon av varmeinstallasjoner</t>
  </si>
  <si>
    <t xml:space="preserve">KNX Bevegelsesføler </t>
  </si>
  <si>
    <t>Isolasjon av ledninger armaturer og utstyr. Omfatter også overflatekledning av isolasjon. Ferdigisolerte ledninger og utstyr beskrives under 321 322 324 og 325.</t>
  </si>
  <si>
    <t>Isolasjon varmeinstallasjoner</t>
  </si>
  <si>
    <t>Rørisolasjon</t>
  </si>
  <si>
    <t>Insulation heatingsystem</t>
  </si>
  <si>
    <t>Pipe insulation</t>
  </si>
  <si>
    <t>Rekkverk</t>
  </si>
  <si>
    <t>Som ikke er tilknyttet trapper</t>
  </si>
  <si>
    <t>Balustrade</t>
  </si>
  <si>
    <t>Dagslysføler</t>
  </si>
  <si>
    <t>komfyr</t>
  </si>
  <si>
    <t>Lux føler</t>
  </si>
  <si>
    <t>Fotocelle</t>
  </si>
  <si>
    <t>Aktuator for radiator elektrisk</t>
  </si>
  <si>
    <t>Fotoselle Lysføler Solføler</t>
  </si>
  <si>
    <t>Actuator for radiator on the radiator</t>
  </si>
  <si>
    <t>Andre trapper balkonger</t>
  </si>
  <si>
    <t>Aktuator</t>
  </si>
  <si>
    <t>electric cooker stove</t>
  </si>
  <si>
    <t>KNX Dagslysføler</t>
  </si>
  <si>
    <t>Aktuator for radiator manuell</t>
  </si>
  <si>
    <t>SA</t>
  </si>
  <si>
    <t>Reguleringsventil manuell</t>
  </si>
  <si>
    <t>Repos</t>
  </si>
  <si>
    <t>Manuelle ventiler</t>
  </si>
  <si>
    <t>Repos for rampe og trapp</t>
  </si>
  <si>
    <t>Landing for ramp and stair</t>
  </si>
  <si>
    <t>LANDING</t>
  </si>
  <si>
    <t xml:space="preserve">KNX Tilstedeværelsesdetektor </t>
  </si>
  <si>
    <t>Stiger</t>
  </si>
  <si>
    <t>Ladder</t>
  </si>
  <si>
    <t>CT</t>
  </si>
  <si>
    <t>Aktuator for radiator pneumatisk</t>
  </si>
  <si>
    <t>Vindeltrapp Taktrapp Stiger</t>
  </si>
  <si>
    <t>SB</t>
  </si>
  <si>
    <t>Så fremt disse ikke er egne system</t>
  </si>
  <si>
    <t>Andre installasjoner for automatisering</t>
  </si>
  <si>
    <t>Reguleringsventil motorstyrt</t>
  </si>
  <si>
    <t>oppvaskmaskin</t>
  </si>
  <si>
    <t>Nivåmåler</t>
  </si>
  <si>
    <t>dishwasher</t>
  </si>
  <si>
    <t>I fettutskiller og pumpekum</t>
  </si>
  <si>
    <t>Level control unit</t>
  </si>
  <si>
    <t>Vindeltrapp</t>
  </si>
  <si>
    <t>Vindeltrapp spiraltrapp</t>
  </si>
  <si>
    <t>Pneumatisk</t>
  </si>
  <si>
    <t>LEVELSENSOR</t>
  </si>
  <si>
    <t>Stair winding</t>
  </si>
  <si>
    <t>IfcStairTypeEnum</t>
  </si>
  <si>
    <t>SPIRALSTAIR</t>
  </si>
  <si>
    <t>Strømningsvakt</t>
  </si>
  <si>
    <t>F.eks. i sprinkleranlegg melder at det er i bruk</t>
  </si>
  <si>
    <t>FLOWSENSOR</t>
  </si>
  <si>
    <t>Andre bygningsmessige deler</t>
  </si>
  <si>
    <t>badekar generisk</t>
  </si>
  <si>
    <t>Badekar generisk modelleres av ARK i tidlig fase</t>
  </si>
  <si>
    <t>bathub generic</t>
  </si>
  <si>
    <t>Aktuator for radiator termostat</t>
  </si>
  <si>
    <t>Bathub generic modeles by Architect in early design stages</t>
  </si>
  <si>
    <t>Temperaturvakt</t>
  </si>
  <si>
    <t>Direktevirkende???</t>
  </si>
  <si>
    <t>Overhetningstermostat</t>
  </si>
  <si>
    <t>THERMOSTATICACTUATOR</t>
  </si>
  <si>
    <t>HEATSENSOR</t>
  </si>
  <si>
    <t>Armeringsjern</t>
  </si>
  <si>
    <t>Reinforcing Bar</t>
  </si>
  <si>
    <t>BA</t>
  </si>
  <si>
    <t>Felles ventil med aktuator for flere radiatorer</t>
  </si>
  <si>
    <t>Armering Forsterkning</t>
  </si>
  <si>
    <t>Actuator for a set of radiators</t>
  </si>
  <si>
    <t>Vindføler</t>
  </si>
  <si>
    <t>Motorstyrte ventiler</t>
  </si>
  <si>
    <t>Innstøpt bjelke Vinkeljern Stålvinkel Kamstål Armeringsnett</t>
  </si>
  <si>
    <t>IfcReinforcingBar</t>
  </si>
  <si>
    <t>Armeringsnett</t>
  </si>
  <si>
    <t>Reinforcing Mesh</t>
  </si>
  <si>
    <t>Brannslokking</t>
  </si>
  <si>
    <t>Værstasjon</t>
  </si>
  <si>
    <t>Installasjon for manuell brannslukking med vann</t>
  </si>
  <si>
    <t>IfcReinforcingMesh</t>
  </si>
  <si>
    <t>Brannhydrant ute på gata</t>
  </si>
  <si>
    <t>badekar</t>
  </si>
  <si>
    <t>WEATHERSTATION</t>
  </si>
  <si>
    <t>IfcFireSuppressionTerminal</t>
  </si>
  <si>
    <t>bathub</t>
  </si>
  <si>
    <t>IfcFireSuppressionTerminalTypeEnum</t>
  </si>
  <si>
    <t>FIREHYDRANT</t>
  </si>
  <si>
    <t>FireHydrantType: WETBARREL</t>
  </si>
  <si>
    <t>Brutto areal</t>
  </si>
  <si>
    <t>Brannhydrant ute på gata frost</t>
  </si>
  <si>
    <t>Gross Area</t>
  </si>
  <si>
    <t>IfcSpace</t>
  </si>
  <si>
    <t>IfcSpaceTypeEnum</t>
  </si>
  <si>
    <t>GFA</t>
  </si>
  <si>
    <t>FireHydrantType: DRYBARREL</t>
  </si>
  <si>
    <t>Parkeringsareal</t>
  </si>
  <si>
    <t>PARKING</t>
  </si>
  <si>
    <t>Brannhydrant / stand pipe</t>
  </si>
  <si>
    <t>baderomsinnredning</t>
  </si>
  <si>
    <t>Rom</t>
  </si>
  <si>
    <t>Romobjekt</t>
  </si>
  <si>
    <t>bathroom fittings</t>
  </si>
  <si>
    <t>Space / room</t>
  </si>
  <si>
    <t>Space object</t>
  </si>
  <si>
    <t>SPACE</t>
  </si>
  <si>
    <t>Utsparing foreslått</t>
  </si>
  <si>
    <t>Utsparingsobjekt foreslått ikke utført</t>
  </si>
  <si>
    <t>Opening proposal</t>
  </si>
  <si>
    <t>The proxy denotes a provision for voids (an proposed opening not applied as void yet)</t>
  </si>
  <si>
    <t>IfcBuildingElementProxyTypeEnum</t>
  </si>
  <si>
    <t>PROVISIONFORVOID</t>
  </si>
  <si>
    <t>dusjhjørne</t>
  </si>
  <si>
    <t>Brannskap innfelt med brannslange</t>
  </si>
  <si>
    <t>shower cabinet</t>
  </si>
  <si>
    <t>Brannskap innfelt med brannslange (trommel)</t>
  </si>
  <si>
    <t>UO</t>
  </si>
  <si>
    <t>Trommel</t>
  </si>
  <si>
    <t>Tromler for slanger ledninger brannslangetrommel inkl. brannskap</t>
  </si>
  <si>
    <t>Hosereel</t>
  </si>
  <si>
    <t>HoseReelMountingType: CABINETRECESSED</t>
  </si>
  <si>
    <t>servant generisk</t>
  </si>
  <si>
    <t>Servant generisk modelleres av ARK i tidlig fase</t>
  </si>
  <si>
    <t>sink generic</t>
  </si>
  <si>
    <t>Sink generic modeles by Architect in early design stages</t>
  </si>
  <si>
    <t>HoseNozzleType: STRAIGHTSTREAM</t>
  </si>
  <si>
    <t>servant</t>
  </si>
  <si>
    <t>sink</t>
  </si>
  <si>
    <t>Brannskap på vegg med brannslange</t>
  </si>
  <si>
    <t>Brannskap på vegg med brannslange (trommel)</t>
  </si>
  <si>
    <t>toalett generisk</t>
  </si>
  <si>
    <t>Toalett generisk modelleres av ARK i tidlig fase</t>
  </si>
  <si>
    <t>toilet generic</t>
  </si>
  <si>
    <t>Toilet generic modeles by Architect in early design stages</t>
  </si>
  <si>
    <t>HoseReelMountingType: SURFACE</t>
  </si>
  <si>
    <t>toalett</t>
  </si>
  <si>
    <t>toilet</t>
  </si>
  <si>
    <t>Installasjon for manuell brannslokking med vann</t>
  </si>
  <si>
    <t>Omfatter ledninger armaturer utstyr og eventuell isolering</t>
  </si>
  <si>
    <t>Brannslange</t>
  </si>
  <si>
    <t>Fire hose reel</t>
  </si>
  <si>
    <t>Flow Terminal</t>
  </si>
  <si>
    <t>Brannslangetrommel</t>
  </si>
  <si>
    <t>HOSEREEL</t>
  </si>
  <si>
    <t>tørketrommel</t>
  </si>
  <si>
    <t>Pset_FireSuppressionTerminalTypeHoseReel.HoseReelType: REEL</t>
  </si>
  <si>
    <t>tumbledryer</t>
  </si>
  <si>
    <t>Brannslange trommel</t>
  </si>
  <si>
    <t>Tromler for slanger ledninger brannslangetrommel</t>
  </si>
  <si>
    <t>Rør brannslukking vann</t>
  </si>
  <si>
    <t>vaskemaskin</t>
  </si>
  <si>
    <t>washing machine</t>
  </si>
  <si>
    <t>Kryss brannslukking vann</t>
  </si>
  <si>
    <t>Kryss i manuell brannslukking med vann</t>
  </si>
  <si>
    <t>skap</t>
  </si>
  <si>
    <t>cabinet</t>
  </si>
  <si>
    <t>T-kryss brannslukking vann</t>
  </si>
  <si>
    <t>reol</t>
  </si>
  <si>
    <t>racking</t>
  </si>
  <si>
    <t>Bend brannslukking vann</t>
  </si>
  <si>
    <t>bord</t>
  </si>
  <si>
    <t>Bord</t>
  </si>
  <si>
    <t>table</t>
  </si>
  <si>
    <t>Utenpåliggende Brannvann Tørropplegg Avgrening i skap</t>
  </si>
  <si>
    <t>arbeidsbenk</t>
  </si>
  <si>
    <t>Arbeidsbenk</t>
  </si>
  <si>
    <t>workbench</t>
  </si>
  <si>
    <t xml:space="preserve">Der brannvesenet kobler til vann (dry and wet riser) </t>
  </si>
  <si>
    <t>BREECHINGINLET</t>
  </si>
  <si>
    <t>sittebenk</t>
  </si>
  <si>
    <t xml:space="preserve">Sittebenk </t>
  </si>
  <si>
    <t>bench</t>
  </si>
  <si>
    <t>Utenpåliggende Brannvann Tørropplegg Tilførsel i skap</t>
  </si>
  <si>
    <t>Ventil brannslokking</t>
  </si>
  <si>
    <t>Stop valve</t>
  </si>
  <si>
    <t>sofa</t>
  </si>
  <si>
    <t>couch sofa</t>
  </si>
  <si>
    <t>Installasjon for brannslokking med sprinkler</t>
  </si>
  <si>
    <t>Isolasjon sprinkler</t>
  </si>
  <si>
    <t>Jevntrykksventil sprinklerventil</t>
  </si>
  <si>
    <t>Pressure reducing valve</t>
  </si>
  <si>
    <t>SJ</t>
  </si>
  <si>
    <t>Jevntrykksventil</t>
  </si>
  <si>
    <t>Sprinklerventil Alarmventil?</t>
  </si>
  <si>
    <t>PRESSUREREDUCING</t>
  </si>
  <si>
    <t>stol</t>
  </si>
  <si>
    <t>chair</t>
  </si>
  <si>
    <t>Rør brannslukking sprinkler</t>
  </si>
  <si>
    <t>Kryss brannslukking sprinkler</t>
  </si>
  <si>
    <t>Kryss i brannslukkingssystem sprinkler</t>
  </si>
  <si>
    <t>stolerad</t>
  </si>
  <si>
    <t>chair row</t>
  </si>
  <si>
    <t>T-kryss brannslukking sprinkler</t>
  </si>
  <si>
    <t>Bend brannslukking sprinkler</t>
  </si>
  <si>
    <t>skilt</t>
  </si>
  <si>
    <t>sign</t>
  </si>
  <si>
    <t>Sprinkler</t>
  </si>
  <si>
    <t>IfcFlowTerminal</t>
  </si>
  <si>
    <t>Sprinkler hengende i himling</t>
  </si>
  <si>
    <t>Sprinklerhode</t>
  </si>
  <si>
    <t>SPRINKLER</t>
  </si>
  <si>
    <t>Pset_FireSuppressionTerminalTypeSprinkler.SprinklerType: CEILING</t>
  </si>
  <si>
    <t>tavle infotavle</t>
  </si>
  <si>
    <t>board information board</t>
  </si>
  <si>
    <t>ventilert arbeidsplass</t>
  </si>
  <si>
    <t>ventilated workstation</t>
  </si>
  <si>
    <t>Sprinkler innfelt i himling</t>
  </si>
  <si>
    <t>trapp innvendig innvendig trapp</t>
  </si>
  <si>
    <t>stair internal</t>
  </si>
  <si>
    <t>trapp utvenid utvendig trapp</t>
  </si>
  <si>
    <t>stair external</t>
  </si>
  <si>
    <t>Pset_FireSuppressionTerminalTypeSprinkler.SprinklerType: RECESSEDPENDANT</t>
  </si>
  <si>
    <t>Sprinkler over dør</t>
  </si>
  <si>
    <t xml:space="preserve">Pset_FireSuppressionTerminalTypeSprinkler.SprinklerType: CUT-OFF </t>
  </si>
  <si>
    <t>rampe</t>
  </si>
  <si>
    <t>ramp</t>
  </si>
  <si>
    <t>Sprinkler på vegg</t>
  </si>
  <si>
    <t>Pset_FireSuppressionTerminalTypeSprinkler.SprinklerType: SIDEWALL</t>
  </si>
  <si>
    <t>Sprinkler stående over himling</t>
  </si>
  <si>
    <t>Pset_FireSuppressionTerminalTypeSprinkler.SprinklerType: UPRIGHT</t>
  </si>
  <si>
    <t>dekke balkong balkongdekke</t>
  </si>
  <si>
    <t>slab balcony balcony slab</t>
  </si>
  <si>
    <t>Installasjon for brannslokking med vanntåke</t>
  </si>
  <si>
    <t>IfcFireSuppressionTerminalType</t>
  </si>
  <si>
    <t>Isolasjon vanntåke</t>
  </si>
  <si>
    <t>rekkverk balkong balkongrekkvekt</t>
  </si>
  <si>
    <t>railing balcony balcony railing</t>
  </si>
  <si>
    <t>Rør brannslokking tåke</t>
  </si>
  <si>
    <t>vegg balkong balkongvegg</t>
  </si>
  <si>
    <t>wall balcony balcony wall</t>
  </si>
  <si>
    <t>Kryss brannslokking tåke</t>
  </si>
  <si>
    <t>Kryss i brannslukkingssystem tåke</t>
  </si>
  <si>
    <t>tribune</t>
  </si>
  <si>
    <t>T-kryss brannslokking tåke</t>
  </si>
  <si>
    <t>grandstand</t>
  </si>
  <si>
    <t>Bend brannslokking tåke</t>
  </si>
  <si>
    <t>amfi</t>
  </si>
  <si>
    <t>amphi</t>
  </si>
  <si>
    <t>Utstyr dyser brannslokking tåke</t>
  </si>
  <si>
    <t>baldakin</t>
  </si>
  <si>
    <t>Baldakiner</t>
  </si>
  <si>
    <t>baldachin</t>
  </si>
  <si>
    <t>Ventil sprinkler</t>
  </si>
  <si>
    <t>Flow Controller</t>
  </si>
  <si>
    <t>IfcFlowController</t>
  </si>
  <si>
    <t>Installasjon for brannslokking med pulver</t>
  </si>
  <si>
    <t>Isolasjon brannslokking pulver</t>
  </si>
  <si>
    <t>skjermtak</t>
  </si>
  <si>
    <t>canopy</t>
  </si>
  <si>
    <t>Rør brannslokking pulver</t>
  </si>
  <si>
    <t>fender</t>
  </si>
  <si>
    <t>wall fender</t>
  </si>
  <si>
    <t>Kryss brannslokking pulver</t>
  </si>
  <si>
    <t>Kryss i brannslukkingssystem pulver</t>
  </si>
  <si>
    <t>T-kryss brannslokking pulver</t>
  </si>
  <si>
    <t>håndlist</t>
  </si>
  <si>
    <t>Bend brannslokking pulver</t>
  </si>
  <si>
    <t>handrail</t>
  </si>
  <si>
    <t>Utstyr dyser brannslokking pulver</t>
  </si>
  <si>
    <t>rekkverk</t>
  </si>
  <si>
    <t>balustrade</t>
  </si>
  <si>
    <t>Ventil</t>
  </si>
  <si>
    <t>repos</t>
  </si>
  <si>
    <t>landing for ramp and stair</t>
  </si>
  <si>
    <t>Brannslukkingsapparat</t>
  </si>
  <si>
    <t>NZ</t>
  </si>
  <si>
    <t>Håndslukker</t>
  </si>
  <si>
    <t>Installasjon for brannslokking med inertgass</t>
  </si>
  <si>
    <t>Dyse</t>
  </si>
  <si>
    <t>stiger</t>
  </si>
  <si>
    <t>ladder</t>
  </si>
  <si>
    <t>Omfatter ledninger armatur utstyr og eventuell isolering.</t>
  </si>
  <si>
    <t>Isolasjon brannslokking inertgass</t>
  </si>
  <si>
    <t>Rør brannslokking inertgass</t>
  </si>
  <si>
    <t>vindeltrapp</t>
  </si>
  <si>
    <t>stair winding</t>
  </si>
  <si>
    <t>Kryss brannslokking inertgass</t>
  </si>
  <si>
    <t>Kryss i brannslukkingssystem inertgass</t>
  </si>
  <si>
    <t>T-kryss brannslokking inertgass</t>
  </si>
  <si>
    <t>armeringsjern</t>
  </si>
  <si>
    <t>reinforcing bar</t>
  </si>
  <si>
    <t>Bend brannslokking inertgass</t>
  </si>
  <si>
    <t>Ventil inertgass</t>
  </si>
  <si>
    <t>armeringsnett</t>
  </si>
  <si>
    <t>reinforcing mesh</t>
  </si>
  <si>
    <t>Isolasjon manuell brannslokking</t>
  </si>
  <si>
    <t>Gass og trykkluft</t>
  </si>
  <si>
    <t>Ledningsnett for sanitærinnstallasjoner (over grunnen)</t>
  </si>
  <si>
    <t>Rørfordelerskap gass (kun tur)</t>
  </si>
  <si>
    <t>Installasjon til gass for bygningsdrift</t>
  </si>
  <si>
    <t>Armatur gass bygningsdrift</t>
  </si>
  <si>
    <t>utsparing foreslått</t>
  </si>
  <si>
    <t>opening proposal</t>
  </si>
  <si>
    <t xml:space="preserve">Bend gassinstallasjon </t>
  </si>
  <si>
    <t>Gassledninger</t>
  </si>
  <si>
    <t>rørbend</t>
  </si>
  <si>
    <t>bend</t>
  </si>
  <si>
    <t>Isolasjon gassinstallasjon bygningsdrift</t>
  </si>
  <si>
    <t>Kryss gassinstallasjon</t>
  </si>
  <si>
    <t>Kryss gassledning</t>
  </si>
  <si>
    <t>Cross gas</t>
  </si>
  <si>
    <t>fastpunkt i ledningsnett</t>
  </si>
  <si>
    <t>fixed point</t>
  </si>
  <si>
    <t>Skap nødavstengning</t>
  </si>
  <si>
    <t>T-kryss gassinstallasjon</t>
  </si>
  <si>
    <t>Ventil gass bygningsdrift</t>
  </si>
  <si>
    <t>Installasjon til gass for virksomhet i ferdig bygg</t>
  </si>
  <si>
    <t>Armatur gass ferdig bygg</t>
  </si>
  <si>
    <t>UG</t>
  </si>
  <si>
    <t>Uttak gass</t>
  </si>
  <si>
    <t>Isolasjon gassinstallasjon virksomhet</t>
  </si>
  <si>
    <t>forbindelsesledd</t>
  </si>
  <si>
    <t>connector</t>
  </si>
  <si>
    <t>Rør gassinstallasjon virksomhet</t>
  </si>
  <si>
    <t>føringsklammer</t>
  </si>
  <si>
    <t>Kryss gassinstallasjon virksomhet</t>
  </si>
  <si>
    <t>guide bracket</t>
  </si>
  <si>
    <t>T-kryss gassinstallasjon virksomhet</t>
  </si>
  <si>
    <t>Bend gassinstallasjon virksomhet</t>
  </si>
  <si>
    <t>rørfordeler med skap - komplett</t>
  </si>
  <si>
    <t>cabinet with distribution manifold</t>
  </si>
  <si>
    <t>Installasjon til trykkluft for virksomhet i ferdig bygg</t>
  </si>
  <si>
    <t>Armatur trykkluft</t>
  </si>
  <si>
    <t>kryss</t>
  </si>
  <si>
    <t>junction</t>
  </si>
  <si>
    <t>Isolasjon trykkluft</t>
  </si>
  <si>
    <t>rør</t>
  </si>
  <si>
    <t>Rør trykkluft virksomhet ferdig bygg</t>
  </si>
  <si>
    <t>pipe</t>
  </si>
  <si>
    <t>Kryss trykkluft virksomhet ferdig bygg</t>
  </si>
  <si>
    <t>fleksibelt rør</t>
  </si>
  <si>
    <t>flexible pipe</t>
  </si>
  <si>
    <t>T-kryss trykkluft virksomhet ferdig bygg</t>
  </si>
  <si>
    <t>Bend trykkluft virksomhet ferdig bygg</t>
  </si>
  <si>
    <t>rørfordeler i skap kun tur</t>
  </si>
  <si>
    <t>distribution manifold</t>
  </si>
  <si>
    <t>Tank medisinske gasser</t>
  </si>
  <si>
    <t>Gas vessel</t>
  </si>
  <si>
    <t>Pset_TankTypeCommon.StorageType: OTHER</t>
  </si>
  <si>
    <t>Trykkluftaggregat</t>
  </si>
  <si>
    <t>rørfordeler i skap tur og retur</t>
  </si>
  <si>
    <t>Ventil trykkluft virksomhet ferdig bygg</t>
  </si>
  <si>
    <t>distribution manifold both ways</t>
  </si>
  <si>
    <t>Objekt som styrer flyt</t>
  </si>
  <si>
    <t>stakeluke</t>
  </si>
  <si>
    <t>cleanout with plug</t>
  </si>
  <si>
    <t>Ventil for medisinske gasser</t>
  </si>
  <si>
    <t>Gas stop valve</t>
  </si>
  <si>
    <t>t-kryss</t>
  </si>
  <si>
    <t>tee</t>
  </si>
  <si>
    <t>buffertank temperaturutjevning temperaturutjevningstank</t>
  </si>
  <si>
    <t>temperature equalization tank</t>
  </si>
  <si>
    <t>Vakuumsystemer</t>
  </si>
  <si>
    <t>Isolasjon vakumsystem</t>
  </si>
  <si>
    <t>Installasjon til medisinsk trykkluft</t>
  </si>
  <si>
    <t>Rør medisinsk trykkluft</t>
  </si>
  <si>
    <t>buffertank trykkutjevning trykkutjevningstank</t>
  </si>
  <si>
    <t>pressure equalization tank</t>
  </si>
  <si>
    <t>Kryss medisinsk trykkluft</t>
  </si>
  <si>
    <t>kompensator</t>
  </si>
  <si>
    <t>compensator</t>
  </si>
  <si>
    <t>T-kryss medisinsk trykkluft</t>
  </si>
  <si>
    <t>Bend medisinsk trykkluft</t>
  </si>
  <si>
    <t>luftepotte</t>
  </si>
  <si>
    <t>Armatur vakuumsystem</t>
  </si>
  <si>
    <t>Rør vakuumsystem</t>
  </si>
  <si>
    <t>Kryss vakuumsystem</t>
  </si>
  <si>
    <t>T-kryss vakuumsystem</t>
  </si>
  <si>
    <t>Bend vakuumsystem</t>
  </si>
  <si>
    <t>mikrobobleutskiller</t>
  </si>
  <si>
    <t>Ventil vakuumsystem</t>
  </si>
  <si>
    <t>Prosesskjøling</t>
  </si>
  <si>
    <t>Kjøleromsystemer</t>
  </si>
  <si>
    <t>Kjølesystemer for temperatur over 0 grader celsius.</t>
  </si>
  <si>
    <t>Aggregat kjøl</t>
  </si>
  <si>
    <t>IfcChiller</t>
  </si>
  <si>
    <t>Armatur kjøl</t>
  </si>
  <si>
    <t>tilbakeslagsventil</t>
  </si>
  <si>
    <t>Rør kjøl</t>
  </si>
  <si>
    <t>Kryss kjøl</t>
  </si>
  <si>
    <t>vakuumutskiller</t>
  </si>
  <si>
    <t>T-kryss kjøl</t>
  </si>
  <si>
    <t>Bend kjøl</t>
  </si>
  <si>
    <t>fjær</t>
  </si>
  <si>
    <t>Ventil kjøl</t>
  </si>
  <si>
    <t>Fryseromsystemer</t>
  </si>
  <si>
    <t>Kuldesystemer for redusert temperatur under 0 grader celsius.</t>
  </si>
  <si>
    <t>Aggregat frys</t>
  </si>
  <si>
    <t>Energy Conversion Device</t>
  </si>
  <si>
    <t>IfcEnergyConversionDevice</t>
  </si>
  <si>
    <t>Armatur frys</t>
  </si>
  <si>
    <t>vibrasjonsdemper</t>
  </si>
  <si>
    <t>Rør frys</t>
  </si>
  <si>
    <t>Kryss frys</t>
  </si>
  <si>
    <t>T-kryss frys</t>
  </si>
  <si>
    <t>stålarmert gummislange</t>
  </si>
  <si>
    <t>Bend frys</t>
  </si>
  <si>
    <t>Ventil frys</t>
  </si>
  <si>
    <t>bend bunnledning sanitær</t>
  </si>
  <si>
    <t>bend pipeline sanitation</t>
  </si>
  <si>
    <t>Kjølesystemer for virksomhet</t>
  </si>
  <si>
    <t>Systemer for kjøling av utstyr benyttet i virksomhet (for eksempel datasentraler reguleringsutstyr for effekt (lysdemping) mv.)</t>
  </si>
  <si>
    <t>Aggregat kjøl virksomhet</t>
  </si>
  <si>
    <t>Armatur kjøl virksomhet</t>
  </si>
  <si>
    <t>Rør kjøl virksomhet</t>
  </si>
  <si>
    <t>forbindelsesledd sanitær i grunn</t>
  </si>
  <si>
    <t>connector pipeline sanitation</t>
  </si>
  <si>
    <t>Kryss kjøl virksomhet</t>
  </si>
  <si>
    <t>T-kryss kjøl virksomhet</t>
  </si>
  <si>
    <t>kryss bunnledning</t>
  </si>
  <si>
    <t>cross plumbing under ground</t>
  </si>
  <si>
    <t>Bend kjøl virksomhet</t>
  </si>
  <si>
    <t>rør bunnledning sanitær</t>
  </si>
  <si>
    <t>pipe pipeline sanitation</t>
  </si>
  <si>
    <t>Ventil kjøl virksomhet</t>
  </si>
  <si>
    <t>Isolasjon frys</t>
  </si>
  <si>
    <t>t-kryss bunnledning sanitær</t>
  </si>
  <si>
    <t>tee pipeline sanitation</t>
  </si>
  <si>
    <t>Isolasjon kjøl</t>
  </si>
  <si>
    <t>Isolasjon kjøl virksomhet</t>
  </si>
  <si>
    <t>bend sanitær</t>
  </si>
  <si>
    <t>Luftbehandling</t>
  </si>
  <si>
    <t>Kanalnett i grunnen for luftbehandling</t>
  </si>
  <si>
    <t>Bend kanal i grunn</t>
  </si>
  <si>
    <t>Duct bend</t>
  </si>
  <si>
    <t>IfcDuctFitting</t>
  </si>
  <si>
    <t>IfcDuctFittingTypeEnum</t>
  </si>
  <si>
    <t>Forbindelsesledd kanalnett i grunn</t>
  </si>
  <si>
    <t>Duct connector</t>
  </si>
  <si>
    <t>durgo ventil</t>
  </si>
  <si>
    <t>Kanal fleksibel i grunn</t>
  </si>
  <si>
    <t>I grunnen under gulv</t>
  </si>
  <si>
    <t>Duct</t>
  </si>
  <si>
    <t>IfcDuctSegment</t>
  </si>
  <si>
    <t>IfcDuctSegmentTypeEnum</t>
  </si>
  <si>
    <t>Kanal stive i grunn</t>
  </si>
  <si>
    <t>Kanalnett for luftbehandling</t>
  </si>
  <si>
    <t>Over grunnen i bygning</t>
  </si>
  <si>
    <t>Bend kanal</t>
  </si>
  <si>
    <t>forbindelsesledd sanitær</t>
  </si>
  <si>
    <t>connector sanitary</t>
  </si>
  <si>
    <t>Forbindelsesledd kanalnett</t>
  </si>
  <si>
    <t>Kanal fleksibel</t>
  </si>
  <si>
    <t>kryss sanitær</t>
  </si>
  <si>
    <t>cross plumbing sanitary</t>
  </si>
  <si>
    <t>Kanal stive</t>
  </si>
  <si>
    <t>Takhatt</t>
  </si>
  <si>
    <t>luftehatt</t>
  </si>
  <si>
    <t>roof hood</t>
  </si>
  <si>
    <t>På topp av ventilasjonskanaler</t>
  </si>
  <si>
    <t>IfcStackTerminal</t>
  </si>
  <si>
    <t>rør sanitær</t>
  </si>
  <si>
    <t>pipe sanitary</t>
  </si>
  <si>
    <t>Ventilhatt</t>
  </si>
  <si>
    <t>Fuglebur for å hindre at fugler kommer inn i ventilasjonskanaler</t>
  </si>
  <si>
    <t>VM</t>
  </si>
  <si>
    <t>Vern Beslag Beskyttelseslist Fender Puller Håndtak Håndløper Rekkverk Gelender Skjerm Låsbeslag Dekkplate Gjerde Gitter Stengsel Dråpefanger Bom Sperre</t>
  </si>
  <si>
    <t>BIRDCAGE</t>
  </si>
  <si>
    <t>Utstyr for luftfordeling</t>
  </si>
  <si>
    <t>Spjeld luft</t>
  </si>
  <si>
    <t>Regulere inn i rommet etter behov</t>
  </si>
  <si>
    <t>S?</t>
  </si>
  <si>
    <t>IfcAirTerminalBox</t>
  </si>
  <si>
    <t>IfcAirTerminalBoxTypeEnum</t>
  </si>
  <si>
    <t>VARIABLEFLOWPRESSUREDEPENDANT</t>
  </si>
  <si>
    <t>fleksible rør sanitær</t>
  </si>
  <si>
    <t>flexible pipe sanitary</t>
  </si>
  <si>
    <t>Aerotempere</t>
  </si>
  <si>
    <t>Coil + vifte med kanal som styrer luftstrømmen</t>
  </si>
  <si>
    <t>LB</t>
  </si>
  <si>
    <t>Varmeomformende med vifte</t>
  </si>
  <si>
    <t>IfcUnitaryEquipment</t>
  </si>
  <si>
    <t>IfcUnitaryEquipmentTypeEnum</t>
  </si>
  <si>
    <t>AIRHANDLER</t>
  </si>
  <si>
    <t xml:space="preserve">Avkasthette </t>
  </si>
  <si>
    <t xml:space="preserve">For utblåsning med høy hastighet innfelt montering </t>
  </si>
  <si>
    <t>IfcAirTerminal</t>
  </si>
  <si>
    <t>IfcAirTerminalTypeEnum</t>
  </si>
  <si>
    <t>GRILLE</t>
  </si>
  <si>
    <t>Pset_AirTerminalOccurrence.Airflowtype: EXHAUSTAIR</t>
  </si>
  <si>
    <t>skap for rørfordeler fordelerskap</t>
  </si>
  <si>
    <t>cabinet for distribution manifold</t>
  </si>
  <si>
    <t>Avkastrist</t>
  </si>
  <si>
    <t xml:space="preserve">Fra systemet i yttervegg. </t>
  </si>
  <si>
    <t>LOUVRE</t>
  </si>
  <si>
    <t>Avtrekksbenk</t>
  </si>
  <si>
    <t>ARK kun tilknytning hos RIV</t>
  </si>
  <si>
    <t>t-kryss sanitær</t>
  </si>
  <si>
    <t>tee sanitary</t>
  </si>
  <si>
    <t>Avtrekkshette med vifte</t>
  </si>
  <si>
    <t>Ventilator</t>
  </si>
  <si>
    <t>Avtrekkshette</t>
  </si>
  <si>
    <t>Avtrekkshette uten vifte</t>
  </si>
  <si>
    <t>Fume hood</t>
  </si>
  <si>
    <t>REGISTER</t>
  </si>
  <si>
    <t>Pset_AirTerminalOccurrence.Airflowtype: RETURNAIR</t>
  </si>
  <si>
    <t>rørfordelerskap gass</t>
  </si>
  <si>
    <t>rørfordelerskap gass kun tur</t>
  </si>
  <si>
    <t>Avtrekkskap</t>
  </si>
  <si>
    <t>Avtrekksvegg</t>
  </si>
  <si>
    <t>blandebatteri</t>
  </si>
  <si>
    <t>shower mixing</t>
  </si>
  <si>
    <t>Brannspjeld</t>
  </si>
  <si>
    <t>SZ</t>
  </si>
  <si>
    <t>Brannspjeld / Røykspjeld</t>
  </si>
  <si>
    <t>IfcDamper</t>
  </si>
  <si>
    <t>IfcDamperTypeEnum</t>
  </si>
  <si>
    <t>FIREDAMPER</t>
  </si>
  <si>
    <t>Pset_DamperTypeFiredamper.ActuationType: SPRING</t>
  </si>
  <si>
    <t>CAV spjeld</t>
  </si>
  <si>
    <t>CAV spjeld (Konstant regulerbartspjeld og lyddemper)</t>
  </si>
  <si>
    <t>Constant Airflow Damper</t>
  </si>
  <si>
    <t>SK</t>
  </si>
  <si>
    <t>Strømningsregulator CAV</t>
  </si>
  <si>
    <t xml:space="preserve">IfcAirTerminalBox </t>
  </si>
  <si>
    <t>CONSTANTFLOW</t>
  </si>
  <si>
    <t>blandebatteri med øyedusj</t>
  </si>
  <si>
    <t>Fraluftsventil</t>
  </si>
  <si>
    <t>Avtrekksventil for himlingsmontasje med plenumskammer</t>
  </si>
  <si>
    <t>SF</t>
  </si>
  <si>
    <t>Avtrekksventil</t>
  </si>
  <si>
    <t>Fraluftsventil regulerbar</t>
  </si>
  <si>
    <t>Mindre luftmengder</t>
  </si>
  <si>
    <t>Fraluftsventil vanlig rist</t>
  </si>
  <si>
    <t>Avtrekksrist i himling eller vegg</t>
  </si>
  <si>
    <t xml:space="preserve">Return air grille </t>
  </si>
  <si>
    <t>dusj blandebatteri</t>
  </si>
  <si>
    <t>Fraluftsventil kontrollventil</t>
  </si>
  <si>
    <t>Extract register</t>
  </si>
  <si>
    <t>Gjennomstikksskap</t>
  </si>
  <si>
    <t>fordelerskap rør i rør</t>
  </si>
  <si>
    <t>manifold cabinet</t>
  </si>
  <si>
    <t>Inntaksrist</t>
  </si>
  <si>
    <t>Til systemet</t>
  </si>
  <si>
    <t xml:space="preserve">Pset_AirTerminalOccurrence.Airflowtype: SUPPLYAIR </t>
  </si>
  <si>
    <t xml:space="preserve">Jethette </t>
  </si>
  <si>
    <t>For utblåsning med høy hastighet utvendig kon med spjeld</t>
  </si>
  <si>
    <t>slangekran vegg</t>
  </si>
  <si>
    <t>Kjemikalieskap</t>
  </si>
  <si>
    <t>water faucet</t>
  </si>
  <si>
    <t>LAF Benk</t>
  </si>
  <si>
    <t>LAF benk</t>
  </si>
  <si>
    <t>Lydfeller</t>
  </si>
  <si>
    <t>stengeventil kule kuleventil</t>
  </si>
  <si>
    <t>Forskjellige varianter skilles ikke i Ifc</t>
  </si>
  <si>
    <t>Silencer Sound attenuation</t>
  </si>
  <si>
    <t>ball valve</t>
  </si>
  <si>
    <t>QL</t>
  </si>
  <si>
    <t>Lyddemper</t>
  </si>
  <si>
    <t>Lydfelle</t>
  </si>
  <si>
    <t>IfcDuctSilencer</t>
  </si>
  <si>
    <t>Overstrømningsventil i himling med kammer og spjeld</t>
  </si>
  <si>
    <t>For luftisolat</t>
  </si>
  <si>
    <t>Transferdiffuser</t>
  </si>
  <si>
    <t>Overstrømningsventil</t>
  </si>
  <si>
    <t>Overstrømningsventil i himling uten lydkrav</t>
  </si>
  <si>
    <t xml:space="preserve">Sirkulær rist </t>
  </si>
  <si>
    <t>stengeventil spjeld spjeldventil</t>
  </si>
  <si>
    <t>butterfly valve</t>
  </si>
  <si>
    <t>Overstrømningsventil i vegg med lydkrav</t>
  </si>
  <si>
    <t>Overstrømningsventil i vegg uten lydkrav</t>
  </si>
  <si>
    <t>Punktavsug</t>
  </si>
  <si>
    <t>stengeventil sluse ratt sluseventil med ratt</t>
  </si>
  <si>
    <t>gate valve</t>
  </si>
  <si>
    <t>Reguleringsspjeld</t>
  </si>
  <si>
    <t>Stilles inn en gang for alle</t>
  </si>
  <si>
    <t>SR</t>
  </si>
  <si>
    <t>BALANCINGDAMPER</t>
  </si>
  <si>
    <t>stengeventil sluse hendel sluseventil med hendel</t>
  </si>
  <si>
    <t>Røyk og brannspjeld</t>
  </si>
  <si>
    <t>FIRESMOKEDAMPER</t>
  </si>
  <si>
    <t>Pset_DamperTypeSmokedamper.ActuationType: SPRING</t>
  </si>
  <si>
    <t>Røykspjeld</t>
  </si>
  <si>
    <t>SMOKEDAMPER</t>
  </si>
  <si>
    <t>Stengespjeld</t>
  </si>
  <si>
    <t>SS</t>
  </si>
  <si>
    <t>stengeventil sluse gir sluseventil med gir</t>
  </si>
  <si>
    <t>gear operated gate valve</t>
  </si>
  <si>
    <t>CONTROLDAMPER</t>
  </si>
  <si>
    <t>Takhatt med vifte for avfallsug</t>
  </si>
  <si>
    <t>JW</t>
  </si>
  <si>
    <t>Spesialvifte</t>
  </si>
  <si>
    <t>Transportvifte</t>
  </si>
  <si>
    <t>IfcFan</t>
  </si>
  <si>
    <t>Takhatt heis</t>
  </si>
  <si>
    <t>Takhatt lufting av heis</t>
  </si>
  <si>
    <t>Roof hood</t>
  </si>
  <si>
    <t>stengeventil kule ms kuleventil</t>
  </si>
  <si>
    <t>Pset_ValveTypeCommon.ValveMechanism: BALL
Pset_ValveTypeCommon.ValveOperation: MOTORIZED</t>
  </si>
  <si>
    <t>Takhatt inntak og avkast</t>
  </si>
  <si>
    <t>Takhatt for inntak og avkast</t>
  </si>
  <si>
    <t>Tilbakeslagsspjeld</t>
  </si>
  <si>
    <t>BACKDRAFTDAMPER</t>
  </si>
  <si>
    <t>Tillluftsventiler</t>
  </si>
  <si>
    <t>Regulerbar</t>
  </si>
  <si>
    <t>Outlet vent</t>
  </si>
  <si>
    <t>Pset_ValveTypeCommon.ValveMechanism: BUTTERFLY
Pset_ValveTypeCommon.ValveOperation: MOTORIZED</t>
  </si>
  <si>
    <t>ST</t>
  </si>
  <si>
    <t>Tilluftsventil</t>
  </si>
  <si>
    <t>Innblåsningsventil</t>
  </si>
  <si>
    <t>Pset_AirTerminalOccurrence.Airflowtype: SUPPLYAIR</t>
  </si>
  <si>
    <t>Tillluftsventiler diffusor</t>
  </si>
  <si>
    <t>strupeventil VVC</t>
  </si>
  <si>
    <t>balancing valve</t>
  </si>
  <si>
    <t>DIFFUSER</t>
  </si>
  <si>
    <t>Tillluftsventiler fortrengningsventil</t>
  </si>
  <si>
    <t>Tillluftsventiler rist</t>
  </si>
  <si>
    <t>tappeventil</t>
  </si>
  <si>
    <t>Tilluftsrist</t>
  </si>
  <si>
    <t>Tillluftsventiler sjalusirist lamellrist dyser</t>
  </si>
  <si>
    <t>Styrer luftstrømmen</t>
  </si>
  <si>
    <t>termostatbatteri</t>
  </si>
  <si>
    <t>Varmluftsgardin</t>
  </si>
  <si>
    <t>Air curtain</t>
  </si>
  <si>
    <t>Varmluftsport</t>
  </si>
  <si>
    <t>Coil + vifte Aerotemper monter over dør</t>
  </si>
  <si>
    <t>frostfri spylekran utvendig utvendig spylekran</t>
  </si>
  <si>
    <t>frost-fee flush crane exterior</t>
  </si>
  <si>
    <t>VAV spjeld trykkstyrt</t>
  </si>
  <si>
    <t>Trykkstyrt. Regulere inn i rommet etter behov</t>
  </si>
  <si>
    <t>Variable Airflow Damper</t>
  </si>
  <si>
    <t>SQ</t>
  </si>
  <si>
    <t>Strømningsregulator VAV</t>
  </si>
  <si>
    <t>VARIABLEFLOWPRESSUREINDEPENDANT</t>
  </si>
  <si>
    <t>VAV spjeld pneumatisk</t>
  </si>
  <si>
    <t>Pneumatisk styrt. Regulere inn i rommet etter behov. I LAB ventilasjon</t>
  </si>
  <si>
    <t>vannuttak med spylevogn</t>
  </si>
  <si>
    <t>Utstyr for luftbehandling</t>
  </si>
  <si>
    <t>Avfukter</t>
  </si>
  <si>
    <t>Dehumidifier</t>
  </si>
  <si>
    <t>MT</t>
  </si>
  <si>
    <t>Dampgenerator</t>
  </si>
  <si>
    <t>Elektrisk</t>
  </si>
  <si>
    <t>Boiler steam electric</t>
  </si>
  <si>
    <t>Elektrokjele</t>
  </si>
  <si>
    <t>STEAM</t>
  </si>
  <si>
    <t>Pset_BoilerTypeCommon: EnergySource: ELECTRICITY</t>
  </si>
  <si>
    <t>Etterkjølebatteri</t>
  </si>
  <si>
    <t>I kanal</t>
  </si>
  <si>
    <t>LK</t>
  </si>
  <si>
    <t>Kjøleomformende</t>
  </si>
  <si>
    <t>Kjølebatteri</t>
  </si>
  <si>
    <t>IfcCoil</t>
  </si>
  <si>
    <t>IfcCoilTypeEnum</t>
  </si>
  <si>
    <t>WATERCOOLINGCOIL</t>
  </si>
  <si>
    <t>Ettervarmebatteri</t>
  </si>
  <si>
    <t>Med vann. I kanal</t>
  </si>
  <si>
    <t xml:space="preserve">Varmeomformende </t>
  </si>
  <si>
    <t>Varmebatteri</t>
  </si>
  <si>
    <t>WATERHEATINGCOIL</t>
  </si>
  <si>
    <t>vannuttak med slange</t>
  </si>
  <si>
    <t>Ettervarmebatteri elektrisk</t>
  </si>
  <si>
    <t>Elektrisk. I kanal</t>
  </si>
  <si>
    <t>ELECTRICHEATINGCOIL</t>
  </si>
  <si>
    <t>Fancoil</t>
  </si>
  <si>
    <t>Fan</t>
  </si>
  <si>
    <t>LC</t>
  </si>
  <si>
    <t>Kjøleomformende med vifte</t>
  </si>
  <si>
    <t>Fan coil</t>
  </si>
  <si>
    <t>vannutttak for kaffetrakter</t>
  </si>
  <si>
    <t>Hepafilter</t>
  </si>
  <si>
    <t>MA</t>
  </si>
  <si>
    <t>Absoluttfilter</t>
  </si>
  <si>
    <t>AIRPARTICLEFILTER</t>
  </si>
  <si>
    <t>Pset_FilterTypeAirParticleFilter.AirParticleFilterType: HEPAFILTER</t>
  </si>
  <si>
    <t>Luftbehandlingsaggregat</t>
  </si>
  <si>
    <t>Stort system</t>
  </si>
  <si>
    <t>Air handling unit</t>
  </si>
  <si>
    <t>IV</t>
  </si>
  <si>
    <t>Aggregatenhet</t>
  </si>
  <si>
    <t>avløpspunkt</t>
  </si>
  <si>
    <t>Luftbehandlingsaggregat bolig</t>
  </si>
  <si>
    <t>Kompakt enhet bolig mindre virksomhet</t>
  </si>
  <si>
    <t>AIRCONDITIONINGUNIT</t>
  </si>
  <si>
    <t>21-04 20 20 Sanitary drainage</t>
  </si>
  <si>
    <t>Luftfukter</t>
  </si>
  <si>
    <t>Dampspyd i kanal</t>
  </si>
  <si>
    <t>Humidifier</t>
  </si>
  <si>
    <t>LU</t>
  </si>
  <si>
    <t>Befukter</t>
  </si>
  <si>
    <t>IfcHumidifier</t>
  </si>
  <si>
    <t>IfcHumidifierTypeEnum</t>
  </si>
  <si>
    <t>STEAMINJECTION</t>
  </si>
  <si>
    <t>Støvutskiller (filter)</t>
  </si>
  <si>
    <t>Airparticlefilter</t>
  </si>
  <si>
    <t>MF</t>
  </si>
  <si>
    <t>Luftfilter</t>
  </si>
  <si>
    <t>50-50-30 Building water waste (drainage) collection and distribution</t>
  </si>
  <si>
    <t>Varmegjenvinner luft til luft kryss</t>
  </si>
  <si>
    <t>Kryssvarmeveksler Varme og kuldegjenvinner</t>
  </si>
  <si>
    <t>LX</t>
  </si>
  <si>
    <t>Varmegjenvinner</t>
  </si>
  <si>
    <t>Kryssvarmeveksler</t>
  </si>
  <si>
    <t>IfcAirToAirHeatRecoveryTypeEnum</t>
  </si>
  <si>
    <t>FIXEDPLATECROSSFLOWEXCHANGER</t>
  </si>
  <si>
    <t>avløpstrakt</t>
  </si>
  <si>
    <t>Varmegjenvinner luft til luft roterende</t>
  </si>
  <si>
    <t>Roterende varmeveksler</t>
  </si>
  <si>
    <t>ROTARYWHEEL</t>
  </si>
  <si>
    <t>Varmegjenvinner luft til luft batteri</t>
  </si>
  <si>
    <t xml:space="preserve">Batteriveksler (Inkl. glykol) </t>
  </si>
  <si>
    <t>Batteriveksler</t>
  </si>
  <si>
    <t>RUNAROUNDCOILLOOP</t>
  </si>
  <si>
    <t>Varmeveksler vann til vann plate</t>
  </si>
  <si>
    <t>avløpstrakt for vaskemaskin</t>
  </si>
  <si>
    <t>IfcHeatExchanger</t>
  </si>
  <si>
    <t>IfcHeatExchangerTypeEnum</t>
  </si>
  <si>
    <t>PLATE</t>
  </si>
  <si>
    <t>Varmeveksler vann til vann rør</t>
  </si>
  <si>
    <t xml:space="preserve">Rør </t>
  </si>
  <si>
    <t>SHELLANDTUBE</t>
  </si>
  <si>
    <t>Vifter tilluft</t>
  </si>
  <si>
    <t>JV</t>
  </si>
  <si>
    <t>Vifte</t>
  </si>
  <si>
    <t>Tilluftsvifte</t>
  </si>
  <si>
    <t>Pset_FanOccurrence.ApplicationOfFan: SUPPLYAIR</t>
  </si>
  <si>
    <t>Avtrekksvifte</t>
  </si>
  <si>
    <t>Sjekk avtrekk utkast omluft mot Exhaustair og returnair</t>
  </si>
  <si>
    <t>21-04 20 10 60 Plumbing Fixtures</t>
  </si>
  <si>
    <t>55-50-70 Building water distribution and supply</t>
  </si>
  <si>
    <t>Pset_FanOccurrence.ApplicationOfFan: RETURNAIR</t>
  </si>
  <si>
    <t>Kjøletårnsvifte</t>
  </si>
  <si>
    <t>Pset_FanOccurrence.ApplicationOfFan: COOLINGTOWER</t>
  </si>
  <si>
    <t>badekar for flere</t>
  </si>
  <si>
    <t>Røykgassvifte</t>
  </si>
  <si>
    <t>badekar i fødestue</t>
  </si>
  <si>
    <t>Røykevakueringsvifte av varm luft over 100 gr.</t>
  </si>
  <si>
    <t>Isolasjon av installasjon for luftbehandling</t>
  </si>
  <si>
    <t>Isolasjon brann</t>
  </si>
  <si>
    <t>Isolasjon av ventilasjonskanaler mot brann</t>
  </si>
  <si>
    <t>Duct insulation</t>
  </si>
  <si>
    <t>Alle typer isolasjon</t>
  </si>
  <si>
    <t xml:space="preserve">bidet gulvmontert bidet mot vegg </t>
  </si>
  <si>
    <t>Isolasjon termisk</t>
  </si>
  <si>
    <t>Isolasjon av ventilasjonskanaler mot temperatur</t>
  </si>
  <si>
    <t>3x4</t>
  </si>
  <si>
    <t>Overtrykksspjeld</t>
  </si>
  <si>
    <t>I tilfluktsrom</t>
  </si>
  <si>
    <t>RELIEFDAMPER</t>
  </si>
  <si>
    <t>Komfortkjøling</t>
  </si>
  <si>
    <t>Ledningsnett i grunnen for komfortkjøling</t>
  </si>
  <si>
    <t>Bend bunnledning komfortkjøling</t>
  </si>
  <si>
    <t>Forbindelsesledd bunnledning komfortkjøling</t>
  </si>
  <si>
    <t>bidet frittstående gulvmontert</t>
  </si>
  <si>
    <t>Kryss bunnledning komfortkjøling</t>
  </si>
  <si>
    <t>Rør bunnledning komfortkjøling</t>
  </si>
  <si>
    <t>bidet veggmontert bidet</t>
  </si>
  <si>
    <t>T-kryss bunnledning komfortkjøling</t>
  </si>
  <si>
    <t>Ledningsnett for komfortkjøling</t>
  </si>
  <si>
    <t>Bend komfortkjøling</t>
  </si>
  <si>
    <t>boblebad</t>
  </si>
  <si>
    <t>Forbindelsesledd komfortkjøling</t>
  </si>
  <si>
    <t>Kryss komfortkjøling</t>
  </si>
  <si>
    <t>buffertank</t>
  </si>
  <si>
    <t>Rør komfortkjøling</t>
  </si>
  <si>
    <t>Temperature Equalization Tank</t>
  </si>
  <si>
    <t>T-kryss komfortkjøling</t>
  </si>
  <si>
    <t>Armatur for komfortkjøling</t>
  </si>
  <si>
    <t>Armaturer komfortkjøling</t>
  </si>
  <si>
    <t>drenspumpe</t>
  </si>
  <si>
    <t>water drain pump</t>
  </si>
  <si>
    <t>Ventil komfortkjøling</t>
  </si>
  <si>
    <t>Spjeld komfortkjøling</t>
  </si>
  <si>
    <t>Utstyr for komfortkjøling</t>
  </si>
  <si>
    <t>drikkefontene</t>
  </si>
  <si>
    <t>Kjølebaffel</t>
  </si>
  <si>
    <t>drinking fountain</t>
  </si>
  <si>
    <t>LD</t>
  </si>
  <si>
    <t>Kjøleflater</t>
  </si>
  <si>
    <t>IfcCooledBeam</t>
  </si>
  <si>
    <t>IfcCooledBeamTypeEnum</t>
  </si>
  <si>
    <t>PASSIVE</t>
  </si>
  <si>
    <t>Kjølebaffel som tilluftventil</t>
  </si>
  <si>
    <t>ACTIVE</t>
  </si>
  <si>
    <t>Kjøletak (baffel integrert i tak)</t>
  </si>
  <si>
    <t>dusj komplett med blandebatteri fast dusjhode</t>
  </si>
  <si>
    <t>Kombibaffel</t>
  </si>
  <si>
    <t>Egentlig ikke riktig</t>
  </si>
  <si>
    <t>Kuldemaskin kjølelegemer</t>
  </si>
  <si>
    <t>Sirkulasjonspumpe komfortkjøling</t>
  </si>
  <si>
    <t>dusj komplett med blandebatteri stang løst dusjhode</t>
  </si>
  <si>
    <t>Isolasjon av installasjon for komforkjøling</t>
  </si>
  <si>
    <t>Isolasjon komforkjøling</t>
  </si>
  <si>
    <t>Vannbehandling</t>
  </si>
  <si>
    <t>System for rensing av forbruksvann</t>
  </si>
  <si>
    <t>Armatur rensing forbruksvann</t>
  </si>
  <si>
    <t>dusjkabinett</t>
  </si>
  <si>
    <t>Bend rensing forbruksvann</t>
  </si>
  <si>
    <t>Pset_SanitaryTerminalTypeShower.Showertype: INDIVIDUAL
HasTray: TRUE</t>
  </si>
  <si>
    <t>Forbindelsesledd rensing forbruksvann</t>
  </si>
  <si>
    <t>Kryss rensing forbruksvann</t>
  </si>
  <si>
    <t>elektrokjel i sanitæranlegg</t>
  </si>
  <si>
    <t>electrical water heater domestic water</t>
  </si>
  <si>
    <t>Rør rensing forbruksvann</t>
  </si>
  <si>
    <t>T-kryss rensing forbruksvann</t>
  </si>
  <si>
    <t>fast dusj</t>
  </si>
  <si>
    <t>System for rensing av avløpsvann</t>
  </si>
  <si>
    <t>Armatur rensing avløpsvann</t>
  </si>
  <si>
    <t>Bensinutskiller</t>
  </si>
  <si>
    <t>MO</t>
  </si>
  <si>
    <t>Utskiller</t>
  </si>
  <si>
    <t>Interceptor</t>
  </si>
  <si>
    <t>InterceptorTypeEnum</t>
  </si>
  <si>
    <t>PETROL</t>
  </si>
  <si>
    <t>fordrøyningstank</t>
  </si>
  <si>
    <t>Fettutskiller</t>
  </si>
  <si>
    <t>GREASE</t>
  </si>
  <si>
    <t>Oljeutskiller</t>
  </si>
  <si>
    <t>OIL</t>
  </si>
  <si>
    <t>Bend rensing avløpsvann</t>
  </si>
  <si>
    <t>fotbad</t>
  </si>
  <si>
    <t>Forbindelsesledd rensing avløpsvann</t>
  </si>
  <si>
    <t>Kryss rensing avløpsvann</t>
  </si>
  <si>
    <t>frisørservant</t>
  </si>
  <si>
    <t>Rør rensing avløpsvann</t>
  </si>
  <si>
    <t>T-kryss rensing avløpsvann</t>
  </si>
  <si>
    <t>grønnsaksforberedelsekum</t>
  </si>
  <si>
    <t>Syklon</t>
  </si>
  <si>
    <t>MS</t>
  </si>
  <si>
    <t>Støvutskiller</t>
  </si>
  <si>
    <t>CYCLONIC</t>
  </si>
  <si>
    <t>System for rensing av vann til svømmebasseng</t>
  </si>
  <si>
    <t>Armatur rensing svømmebasseng</t>
  </si>
  <si>
    <t>gulvbrønn</t>
  </si>
  <si>
    <t>Bend rensing svømmebasseng</t>
  </si>
  <si>
    <t xml:space="preserve">Forbindelsesledd rensing svømmebasseng </t>
  </si>
  <si>
    <t>Kryss rensing svømmebasseng</t>
  </si>
  <si>
    <t>hjørnebadekar</t>
  </si>
  <si>
    <t>Rør rensing svømmebasseng</t>
  </si>
  <si>
    <t>T-kryss rensing svømmebasseng</t>
  </si>
  <si>
    <t>hånddusj</t>
  </si>
  <si>
    <t>For å beskytte mot legionella</t>
  </si>
  <si>
    <t>Water filter</t>
  </si>
  <si>
    <t>Inntakssil</t>
  </si>
  <si>
    <t>På hovedinntak</t>
  </si>
  <si>
    <t>MV</t>
  </si>
  <si>
    <t>Vannfilter</t>
  </si>
  <si>
    <t>Filtrering av vann</t>
  </si>
  <si>
    <t>håndvask</t>
  </si>
  <si>
    <t xml:space="preserve">RO vann </t>
  </si>
  <si>
    <t>RO-Filter</t>
  </si>
  <si>
    <t>Pset_FilterTypeWaterfilter.WaterfilterType: PURIFICATION_REVERSEOSMOSIS</t>
  </si>
  <si>
    <t xml:space="preserve">Vanrenseanlegg RO vann </t>
  </si>
  <si>
    <t>intimdusj</t>
  </si>
  <si>
    <t>jacuzzi</t>
  </si>
  <si>
    <t>keramisk kum med keramisk flate bakover for armatur</t>
  </si>
  <si>
    <t>vaskekum keramisk med front satt i benk med overløp</t>
  </si>
  <si>
    <t>vaskekum keramisk med front satt i benk uten overløp</t>
  </si>
  <si>
    <t>kjemisk toalett</t>
  </si>
  <si>
    <t>kjøkkenkvern</t>
  </si>
  <si>
    <t>laboratoriekum</t>
  </si>
  <si>
    <t>lab basin</t>
  </si>
  <si>
    <t>multirenne</t>
  </si>
  <si>
    <t>nøddusj</t>
  </si>
  <si>
    <t>22-22 45 13 Emergency showers</t>
  </si>
  <si>
    <t>nøddusj med øyespyler</t>
  </si>
  <si>
    <t>oppvaskkum med rist høyre</t>
  </si>
  <si>
    <t>oppvaskkum med rist på begge sider</t>
  </si>
  <si>
    <t>oppvaskkum med rist venstre</t>
  </si>
  <si>
    <t>overvannskum</t>
  </si>
  <si>
    <t>stormwater manhole</t>
  </si>
  <si>
    <t>overvannskum med dykket avløp</t>
  </si>
  <si>
    <t>stormwater manhole with submerged exit</t>
  </si>
  <si>
    <t>pissoir</t>
  </si>
  <si>
    <t>pumpe for avløpsvann neddykkbar</t>
  </si>
  <si>
    <t>servant tannlege</t>
  </si>
  <si>
    <t>sink dentist washbasin dentist</t>
  </si>
  <si>
    <t>servant kirurgi</t>
  </si>
  <si>
    <t>sink surgery washbasin surgery</t>
  </si>
  <si>
    <t>servant tippbar</t>
  </si>
  <si>
    <t>sink tiltable washbasin tiltable</t>
  </si>
  <si>
    <t>servant nedfelt</t>
  </si>
  <si>
    <t>sink enshired washbasin enshrined</t>
  </si>
  <si>
    <t>servant multippel</t>
  </si>
  <si>
    <t>sink multiple washbasin multiple</t>
  </si>
  <si>
    <t>vaskerenne</t>
  </si>
  <si>
    <t>wash trough</t>
  </si>
  <si>
    <t>sink washbasin</t>
  </si>
  <si>
    <t>servant  HC</t>
  </si>
  <si>
    <t>sink HC washbasin HC</t>
  </si>
  <si>
    <t>sirkulasjonspumpe</t>
  </si>
  <si>
    <t>sirculation pump</t>
  </si>
  <si>
    <t>sisterne</t>
  </si>
  <si>
    <t xml:space="preserve">Sisterne på WC  innebygget  Urinal </t>
  </si>
  <si>
    <t>sittebadekar</t>
  </si>
  <si>
    <t>skyllekum med oppvarming</t>
  </si>
  <si>
    <t>skyllekum</t>
  </si>
  <si>
    <t>sluk</t>
  </si>
  <si>
    <t>sluk med gipsutskiller</t>
  </si>
  <si>
    <t>slukbrønn</t>
  </si>
  <si>
    <t>slukrenne</t>
  </si>
  <si>
    <t>vaskekum stor på bein rustfri</t>
  </si>
  <si>
    <t>washstand big on legs stainless</t>
  </si>
  <si>
    <t>taksluk</t>
  </si>
  <si>
    <t>terapeutisk badekar</t>
  </si>
  <si>
    <t>toalett HC</t>
  </si>
  <si>
    <t>Pset_SanitaryTerminalTypeToiletPan.ToiletPanType: WASHDOWNWALHUNG
Pset_SanitaryTerminalTypeToiletPan.ToiletPanType: WASHDOWN</t>
  </si>
  <si>
    <t xml:space="preserve">toalett klosettskål </t>
  </si>
  <si>
    <t>toilet bowl</t>
  </si>
  <si>
    <t>toalett klosettskål på gulv</t>
  </si>
  <si>
    <t>toilet bowl on floor</t>
  </si>
  <si>
    <t>Pset_SanitaryTerminalTypeToiletPan.ToiletPanType: WASHDOWN
Pset_SanitaryTerminalTypeToiletPan.PanMounting: BACKTOWALL</t>
  </si>
  <si>
    <t>toalett klosettskål vegghengt</t>
  </si>
  <si>
    <t>toilet bowl wall hung</t>
  </si>
  <si>
    <t>Pset_SanitaryTerminalTypeToiletPan.ToiletPanType: WASHDOWN
Pset_SanitaryTerminalTypeToiletPan.PanMounting: WALLHUNG</t>
  </si>
  <si>
    <t>toalett klosettskål med sisterne</t>
  </si>
  <si>
    <t>toilet bowl with cistern</t>
  </si>
  <si>
    <t>toalettsete</t>
  </si>
  <si>
    <t>toilet seat</t>
  </si>
  <si>
    <t>tunneldusj</t>
  </si>
  <si>
    <t>Divided in housing hospital etc. Impossible to use</t>
  </si>
  <si>
    <t>urinal</t>
  </si>
  <si>
    <t>urinal med bunnrenne</t>
  </si>
  <si>
    <t>urinal gammel type</t>
  </si>
  <si>
    <t>urinalrenne</t>
  </si>
  <si>
    <t>utslagsvask</t>
  </si>
  <si>
    <t>utslagsvask med bøtterist</t>
  </si>
  <si>
    <t>sink with grating</t>
  </si>
  <si>
    <t>vakumklosett</t>
  </si>
  <si>
    <t>vannbehandling av kaldt vann og varmt forbruksvann</t>
  </si>
  <si>
    <t>vannlås</t>
  </si>
  <si>
    <t>varmtvannsbereder</t>
  </si>
  <si>
    <t>vaskekum med sediment fang</t>
  </si>
  <si>
    <t>VVB pumpe</t>
  </si>
  <si>
    <t>VVX pumpe</t>
  </si>
  <si>
    <t>øyevask øyespyler</t>
  </si>
  <si>
    <t>eyewasher (emergency)</t>
  </si>
  <si>
    <t>22-22 45 16 Eywash equipment</t>
  </si>
  <si>
    <t>isolasjon sanitærinstallasjoner</t>
  </si>
  <si>
    <t>aktuator for radiator elektrisk</t>
  </si>
  <si>
    <t>actuator for radiator on the radiator</t>
  </si>
  <si>
    <t>aktuator for radiator manuell</t>
  </si>
  <si>
    <t>aktuator for radiator pneumatisk</t>
  </si>
  <si>
    <t>aktuator for radiator termostat</t>
  </si>
  <si>
    <t>felles ventil med aktuator for flere radiatorer</t>
  </si>
  <si>
    <t>actuator for a set of radiators</t>
  </si>
  <si>
    <t>rør bunnledning varme</t>
  </si>
  <si>
    <t>pipe drain heating</t>
  </si>
  <si>
    <t>kryss bunnledning varme</t>
  </si>
  <si>
    <t>cross drain heating</t>
  </si>
  <si>
    <t>t-kryss bunnledning varme</t>
  </si>
  <si>
    <t>T-junction drain heating</t>
  </si>
  <si>
    <t>bend bunnledning varme</t>
  </si>
  <si>
    <t>bend drain heating</t>
  </si>
  <si>
    <t>rør varme</t>
  </si>
  <si>
    <t>tube heating</t>
  </si>
  <si>
    <t>kryss varme</t>
  </si>
  <si>
    <t>cross heating</t>
  </si>
  <si>
    <t>t-kryss varme</t>
  </si>
  <si>
    <t>T-junction heating</t>
  </si>
  <si>
    <t>bend varme</t>
  </si>
  <si>
    <t>rørfordelerskap gulvvarme</t>
  </si>
  <si>
    <t>differansetrykkregulator</t>
  </si>
  <si>
    <t>Pset_ValveTypeCommon.ValveMechanism: OTHER
Pset_ValveTypeCommon.Valveoperation: SPRING</t>
  </si>
  <si>
    <t>strupeventil bløde</t>
  </si>
  <si>
    <t>Pset_ValveTypeCommon.ValveMechanism: OTHER
Pset_ValveTypeCommon.Valveoperation: LEVER</t>
  </si>
  <si>
    <t>strupeventil regulering</t>
  </si>
  <si>
    <t>ekspansjonstank</t>
  </si>
  <si>
    <t>pressure expansion vessel</t>
  </si>
  <si>
    <t>elektrokjel varmeanlegg</t>
  </si>
  <si>
    <t>electrical water heater for heating</t>
  </si>
  <si>
    <t>Pset_BoilerTypeCommon.Status: NEW
Pset_BoilerTypeCommon.EnergySource: ELECTRICITY</t>
  </si>
  <si>
    <t>håndkletørker med vannvarme</t>
  </si>
  <si>
    <t>towelwarmer toweldrier</t>
  </si>
  <si>
    <t>Pset_SpaceHeaterTypeCommon.PlacementType: TOWELWARMER
Pset_SpaceHeaterTypeCommon.TemperaturClassification: LOWTEMPERATURE
Pset_SpaceHeaterTypeCommon.HeatTransferMedium: WATER</t>
  </si>
  <si>
    <t>Pset_SpaceHeaterTypeConvector.ConvectorType: NATURAL
Pset_SpaceHeaterTypeCommon.TemperaturClassification: LOWTEMPERATURE</t>
  </si>
  <si>
    <t>pumpe</t>
  </si>
  <si>
    <t>circulation pump</t>
  </si>
  <si>
    <t>radiator hygieneutførelse</t>
  </si>
  <si>
    <t>radiator hygienic</t>
  </si>
  <si>
    <t>radiator med ventilhus plan front</t>
  </si>
  <si>
    <t>radiator flat front with valve house</t>
  </si>
  <si>
    <t>Pset_SpaceHeaterTypeRadiator.Radiatortype: PANEL
Pset_SpaceHeaterTypeCommon.TemperaturClassification: LOWTEMPERATURE</t>
  </si>
  <si>
    <t>radiator ribberør</t>
  </si>
  <si>
    <t>radiator ribs radiator fins</t>
  </si>
  <si>
    <t>radiator uten ventilhus plan front</t>
  </si>
  <si>
    <t>radiator flat front without valve house</t>
  </si>
  <si>
    <t>water treatment</t>
  </si>
  <si>
    <t>IfcFilterTypeEnum</t>
  </si>
  <si>
    <t>varmevekslere</t>
  </si>
  <si>
    <t>heat recovery air to air</t>
  </si>
  <si>
    <t>isolasjon varmeinstallasjoner</t>
  </si>
  <si>
    <t>insulation heatingsystem</t>
  </si>
  <si>
    <t>brannhydrant ute på gata</t>
  </si>
  <si>
    <t>fire hydrant</t>
  </si>
  <si>
    <t>21-04 40 10 10 Water based fire Suppression</t>
  </si>
  <si>
    <t>22-21 12 00 Fire suppression standpipes</t>
  </si>
  <si>
    <t>55-50-80 Building water fire suppression</t>
  </si>
  <si>
    <t>brannhydrant ute på gata frost</t>
  </si>
  <si>
    <t>brannhydrant stand pipe</t>
  </si>
  <si>
    <t>brannskap innfelt med brannslange</t>
  </si>
  <si>
    <t>HoseReelMountingType: CABINETRECESSED 
HoseNozzleType: STRAIGHTSTREAM</t>
  </si>
  <si>
    <t>brannskap på vegg med brannslange</t>
  </si>
  <si>
    <t>HoseReelMountingType: SURFACE 
HoseNozzleType: STRAIGHTSTREAM</t>
  </si>
  <si>
    <t>brannslange</t>
  </si>
  <si>
    <t>flow terminal</t>
  </si>
  <si>
    <t>rør brannslukking brannslukkingsrør</t>
  </si>
  <si>
    <t>kryss brannslukking</t>
  </si>
  <si>
    <t>t-kryss brannslukking</t>
  </si>
  <si>
    <t>bend brannslukking vann</t>
  </si>
  <si>
    <t>utenpåliggende brannvann tørropplegg med avgrening i skap</t>
  </si>
  <si>
    <t>utenpåliggende brannvann tørropplegg tilførsel i skap</t>
  </si>
  <si>
    <t>ventil brannslokkingventil</t>
  </si>
  <si>
    <t>stop valve</t>
  </si>
  <si>
    <t>isolasjon sprinklerisolasjon</t>
  </si>
  <si>
    <t>pipe insulation</t>
  </si>
  <si>
    <t>jevntrykksventil sprinklerventil</t>
  </si>
  <si>
    <t>pressure reducing valve</t>
  </si>
  <si>
    <t>rør brannslukkingrør for sprinkler</t>
  </si>
  <si>
    <t>kryss brannslukkingkryss for sprinkler</t>
  </si>
  <si>
    <t>t-kryss t-kryss brannslukking for sprinkler</t>
  </si>
  <si>
    <t>bend brannslukkingbend for sprinkler</t>
  </si>
  <si>
    <t>sprinkler</t>
  </si>
  <si>
    <t>sprinkler hengende i himling</t>
  </si>
  <si>
    <t>22-21 13 00 Fire suppression sprinkler systems</t>
  </si>
  <si>
    <t>sprinkler innfelt i himling</t>
  </si>
  <si>
    <t>Pset_FireSuppressionTerminalTypeSprinkler.SprinklerType: CEILING
Pset_FireSuppressionTerminalTypeSprinkler.SprinklerType: RECESSEDPENDANT</t>
  </si>
  <si>
    <t>sprinkler over dør</t>
  </si>
  <si>
    <t>sprinkler på vegg</t>
  </si>
  <si>
    <t>sprinkler on wall</t>
  </si>
  <si>
    <t>Pset_FireSuppressionTerminalTypeSprinkler.SprinklerType: SIDEWALL</t>
  </si>
  <si>
    <t>sprinkler stående over himling</t>
  </si>
  <si>
    <t>sprinkler standing over ceiling</t>
  </si>
  <si>
    <t>brannslange trommel</t>
  </si>
  <si>
    <t>isolasjon rørisolasjon for vanntåke</t>
  </si>
  <si>
    <t>rør brannslokkingrør for tåke</t>
  </si>
  <si>
    <t>kryss brannslokkingkryss for tåke</t>
  </si>
  <si>
    <t>t-kryss t-kryss brannslokking for tåke</t>
  </si>
  <si>
    <t>bend brannslokkingbend for tåke</t>
  </si>
  <si>
    <t>utstyr dyser brannslokking tåke</t>
  </si>
  <si>
    <t>ventil sprinklerventil</t>
  </si>
  <si>
    <t>flow controller</t>
  </si>
  <si>
    <t>isolasjon brannslokking pulver</t>
  </si>
  <si>
    <t>rør brannslokking pulver</t>
  </si>
  <si>
    <t>kryss brannslokking pulver</t>
  </si>
  <si>
    <t>t-kryss brannslokking pulver</t>
  </si>
  <si>
    <t>bend brannslokking pulver</t>
  </si>
  <si>
    <t>utstyr dyser brannslokking pulver</t>
  </si>
  <si>
    <t>ventil</t>
  </si>
  <si>
    <t>brannslukkingsapparat</t>
  </si>
  <si>
    <t>dyse</t>
  </si>
  <si>
    <t>isolasjon brannslokking inertgass</t>
  </si>
  <si>
    <t>rør brannslokking inertgass</t>
  </si>
  <si>
    <t>kryss brannslokking inertgass</t>
  </si>
  <si>
    <t>t-kryss brannslokking inertgass</t>
  </si>
  <si>
    <t>bend brannslokking inertgass</t>
  </si>
  <si>
    <t>ventil inertgass</t>
  </si>
  <si>
    <t>isolasjon manuell brannslokking</t>
  </si>
  <si>
    <t>armatur gass bygningsdrift</t>
  </si>
  <si>
    <t>bend gassinstallasjon</t>
  </si>
  <si>
    <t>gassledninger</t>
  </si>
  <si>
    <t>gaspipe</t>
  </si>
  <si>
    <t>isolasjon gassinstallasjon bygningsdrift</t>
  </si>
  <si>
    <t>kryss gassinstallasjon</t>
  </si>
  <si>
    <t>cross gas</t>
  </si>
  <si>
    <t>skap nødavstengning</t>
  </si>
  <si>
    <t>t-kryss gassinstallasjon</t>
  </si>
  <si>
    <t>ventil gass bygningsdrift</t>
  </si>
  <si>
    <t>armatur gass ferdig bygg</t>
  </si>
  <si>
    <t>isolasjon gassinstallasjon virksomhet</t>
  </si>
  <si>
    <t>rør gassinstallasjon virksomhet</t>
  </si>
  <si>
    <t>kryss gassinstallasjon virksomhet</t>
  </si>
  <si>
    <t>t-kryss gassinstallasjon virksomhet</t>
  </si>
  <si>
    <t>bend gassinstallasjon virksomhet</t>
  </si>
  <si>
    <t xml:space="preserve">tee gas installation </t>
  </si>
  <si>
    <t>armatur trykkluft</t>
  </si>
  <si>
    <t>armature compressed air</t>
  </si>
  <si>
    <t>isolasjon trykkluft</t>
  </si>
  <si>
    <t>insulation compressed air</t>
  </si>
  <si>
    <t>rør trykkluft virksomhet ferdig bygg</t>
  </si>
  <si>
    <t>pipe air operations prefabricated building</t>
  </si>
  <si>
    <t>kryss trykkluft virksomhet ferdig bygg</t>
  </si>
  <si>
    <t>Cross air operations prefabricated building</t>
  </si>
  <si>
    <t>t-kryss trykkluft virksomhet ferdig bygg</t>
  </si>
  <si>
    <t>T-junction air operations prefabricated building</t>
  </si>
  <si>
    <t>bend trykkluft virksomhet ferdig bygg</t>
  </si>
  <si>
    <t>bend air operations prefabricated building</t>
  </si>
  <si>
    <t>tank medisinske gasser</t>
  </si>
  <si>
    <t>tank medical gases</t>
  </si>
  <si>
    <t>trykkluftaggregat</t>
  </si>
  <si>
    <t>compressed air aggregate</t>
  </si>
  <si>
    <t>ventil trykkluft virksomhet ferdig bygg</t>
  </si>
  <si>
    <t>valve pneumatic operations prefabricated building</t>
  </si>
  <si>
    <t>ventil for medisinske gasser</t>
  </si>
  <si>
    <t>valve for medical gases</t>
  </si>
  <si>
    <t>Pset_ValveTypeCommon.ValveMechanism: BALL
Pset_ValveTypeCommon.Valveoperation: LEVER</t>
  </si>
  <si>
    <t>isolasjon vakumsystem</t>
  </si>
  <si>
    <t>insulation vacuum system</t>
  </si>
  <si>
    <t>rør medisinsk trykkluft</t>
  </si>
  <si>
    <t>tubes medical compressed air</t>
  </si>
  <si>
    <t>kryss medisinsk trykkluft</t>
  </si>
  <si>
    <t>Cross medical compressed air</t>
  </si>
  <si>
    <t>t-kryss medisinsk trykkluft</t>
  </si>
  <si>
    <t>T-junction medical compressed air</t>
  </si>
  <si>
    <t>bend medisinsk trykkluft</t>
  </si>
  <si>
    <t>bend medical compressed air</t>
  </si>
  <si>
    <t>armatur vakuumsystem</t>
  </si>
  <si>
    <t>armature vacuum system</t>
  </si>
  <si>
    <t>rør vakuumsystem</t>
  </si>
  <si>
    <t>pipe vacuum system</t>
  </si>
  <si>
    <t>kryss vakuumsystem</t>
  </si>
  <si>
    <t>cross vacuum system</t>
  </si>
  <si>
    <t>T-junction vacuum system</t>
  </si>
  <si>
    <t>bend vakuumsystem</t>
  </si>
  <si>
    <t>bends vacuum system</t>
  </si>
  <si>
    <t>ventil vakuumsystem</t>
  </si>
  <si>
    <t>valve vacuum system</t>
  </si>
  <si>
    <t>aggregat kjøl</t>
  </si>
  <si>
    <t>aggregate cooling</t>
  </si>
  <si>
    <t>armatur kjøl</t>
  </si>
  <si>
    <t>armature cooling</t>
  </si>
  <si>
    <t>rør kjøl</t>
  </si>
  <si>
    <t>pipe cooling</t>
  </si>
  <si>
    <t>kryss kjøl</t>
  </si>
  <si>
    <t>cross cooling</t>
  </si>
  <si>
    <t>T-junction cooling</t>
  </si>
  <si>
    <t>bend kjøl</t>
  </si>
  <si>
    <t>bend cooling</t>
  </si>
  <si>
    <t>ventil kjøl</t>
  </si>
  <si>
    <t>valve cooling</t>
  </si>
  <si>
    <t>aggregat frys</t>
  </si>
  <si>
    <t>aggregate freezer</t>
  </si>
  <si>
    <t>armatur frys</t>
  </si>
  <si>
    <t>armature freezer</t>
  </si>
  <si>
    <t>rør frys</t>
  </si>
  <si>
    <t>tube freezer</t>
  </si>
  <si>
    <t>kryss frys</t>
  </si>
  <si>
    <t>cross freezer</t>
  </si>
  <si>
    <t>T-junction freezer</t>
  </si>
  <si>
    <t>bend frys</t>
  </si>
  <si>
    <t>bend freezer</t>
  </si>
  <si>
    <t>ventil frys</t>
  </si>
  <si>
    <t>Valve freezer</t>
  </si>
  <si>
    <t>aggregat kjøl virksomhet</t>
  </si>
  <si>
    <t>aggregate refrigirator industry</t>
  </si>
  <si>
    <t>armatur kjøl virksomhet</t>
  </si>
  <si>
    <t>armature refrigirator industry</t>
  </si>
  <si>
    <t>rør kjøl virksomhet</t>
  </si>
  <si>
    <t>pipe cooling industry</t>
  </si>
  <si>
    <t>kryss kjøl virksomhet</t>
  </si>
  <si>
    <t>cross refrigirator industry</t>
  </si>
  <si>
    <t>T-junction controlled industry</t>
  </si>
  <si>
    <t>bend kjøl virksomhet</t>
  </si>
  <si>
    <t>bend refrigirator industry</t>
  </si>
  <si>
    <t>ventil kjøl virksomhet</t>
  </si>
  <si>
    <t>valve controlled industry</t>
  </si>
  <si>
    <t>isolasjon frys</t>
  </si>
  <si>
    <t>insulation freezer</t>
  </si>
  <si>
    <t>isolasjon kjøl</t>
  </si>
  <si>
    <t>insulation cooler</t>
  </si>
  <si>
    <t>isolasjon kjøl virksomhet</t>
  </si>
  <si>
    <t>insulation cooler industry</t>
  </si>
  <si>
    <t>kanalbend</t>
  </si>
  <si>
    <t>kanalbend i grunn</t>
  </si>
  <si>
    <t>duct bend</t>
  </si>
  <si>
    <t>duct connector</t>
  </si>
  <si>
    <t>kanal fleksibel i grunn</t>
  </si>
  <si>
    <t>duct flexible within reason</t>
  </si>
  <si>
    <t>kanal stive i grunn</t>
  </si>
  <si>
    <t>duct rigid ground</t>
  </si>
  <si>
    <t>bend kanal</t>
  </si>
  <si>
    <t>bend duct</t>
  </si>
  <si>
    <t>forbindelsesledd kanalnett</t>
  </si>
  <si>
    <t>linkers channel network</t>
  </si>
  <si>
    <t>kanal fleksibel</t>
  </si>
  <si>
    <t>duct flexible</t>
  </si>
  <si>
    <t>kanal stive</t>
  </si>
  <si>
    <t>duct rigid</t>
  </si>
  <si>
    <t>takhatt</t>
  </si>
  <si>
    <t>louvers</t>
  </si>
  <si>
    <t>ventilhatt</t>
  </si>
  <si>
    <t>Valve had</t>
  </si>
  <si>
    <t>luftspjeld</t>
  </si>
  <si>
    <t>louver</t>
  </si>
  <si>
    <t>aerotempere</t>
  </si>
  <si>
    <t>avkasthette</t>
  </si>
  <si>
    <t>exhaust hood</t>
  </si>
  <si>
    <t>avkastrist</t>
  </si>
  <si>
    <t>exhaust grate</t>
  </si>
  <si>
    <t>avtrekksbenk</t>
  </si>
  <si>
    <t>extractor bench</t>
  </si>
  <si>
    <t>avtrekkshette med vifte</t>
  </si>
  <si>
    <t>exhaust hood with fan</t>
  </si>
  <si>
    <t>avtrekkshette uten vifte</t>
  </si>
  <si>
    <t>exhaust hood without fan</t>
  </si>
  <si>
    <t>avtrekkskap</t>
  </si>
  <si>
    <t>fume hoods</t>
  </si>
  <si>
    <t>avtrekksvegg</t>
  </si>
  <si>
    <t>exhaust wall</t>
  </si>
  <si>
    <t>brannspjeld</t>
  </si>
  <si>
    <t>fire dampers</t>
  </si>
  <si>
    <t>cav spjeld</t>
  </si>
  <si>
    <t>cav damper</t>
  </si>
  <si>
    <t>fraluftsventil</t>
  </si>
  <si>
    <t>exhaust air flap</t>
  </si>
  <si>
    <t>fraluftsventil regulerbar</t>
  </si>
  <si>
    <t>exhaust air flap adjustable</t>
  </si>
  <si>
    <t>fraluftsventil vanlig rist</t>
  </si>
  <si>
    <t>exhaust air flap regular grid</t>
  </si>
  <si>
    <t>fraluftsventil kontrollventil</t>
  </si>
  <si>
    <t>exhaust air flap control valve</t>
  </si>
  <si>
    <t>gjennomstikksskap</t>
  </si>
  <si>
    <t>push-through cabinets</t>
  </si>
  <si>
    <t>inntaksrist</t>
  </si>
  <si>
    <t>intake grate</t>
  </si>
  <si>
    <t>jethette</t>
  </si>
  <si>
    <t>kjemikalieskap</t>
  </si>
  <si>
    <t>chemicals cupboard</t>
  </si>
  <si>
    <t>laf benk</t>
  </si>
  <si>
    <t>laf bench</t>
  </si>
  <si>
    <t>lydfeller</t>
  </si>
  <si>
    <t>silencers</t>
  </si>
  <si>
    <t>overstrømningsventil i himling med kammer og spjeld</t>
  </si>
  <si>
    <t>overflow valve in the ceiling with chamber and dampers</t>
  </si>
  <si>
    <t>overstrømningsventil i himling uten lydkrav</t>
  </si>
  <si>
    <t>overflow valve in the ceiling without sound insulation requirements</t>
  </si>
  <si>
    <t>overstrømningsventil i vegg med lydkrav</t>
  </si>
  <si>
    <t>overflow valve in the wall with sound insulation requirements</t>
  </si>
  <si>
    <t>overstrømningsventil i vegg uten lydkrav</t>
  </si>
  <si>
    <t>overflow valve in the wall without sound insulation requirements</t>
  </si>
  <si>
    <t>punktavsug</t>
  </si>
  <si>
    <t>local exhaust ventilation</t>
  </si>
  <si>
    <t>reguleringsspjeld</t>
  </si>
  <si>
    <t>damper</t>
  </si>
  <si>
    <t>røyk og brannspjeld</t>
  </si>
  <si>
    <t>smoke and fire dampers</t>
  </si>
  <si>
    <t>røykspjeld</t>
  </si>
  <si>
    <t>smoke dampers</t>
  </si>
  <si>
    <t>stengespjeld</t>
  </si>
  <si>
    <t>dampermotor</t>
  </si>
  <si>
    <t>takhatt med vifte for avfallsug</t>
  </si>
  <si>
    <t>roof unit with fan avfallsug</t>
  </si>
  <si>
    <t>takhatt for heis</t>
  </si>
  <si>
    <t>louvers for elevator</t>
  </si>
  <si>
    <t>takhatt for inntak og avkast</t>
  </si>
  <si>
    <t>louvers for intake and exhaust</t>
  </si>
  <si>
    <t>tilbakeslagsspjeld</t>
  </si>
  <si>
    <t>check valve</t>
  </si>
  <si>
    <t>tillluftsventiler</t>
  </si>
  <si>
    <t>till louvres</t>
  </si>
  <si>
    <t>tillluftsventiler diffusor</t>
  </si>
  <si>
    <t>till air vents diffuser</t>
  </si>
  <si>
    <t>tillluftsventiler fortrengningsventil</t>
  </si>
  <si>
    <t>till vents displacement valve</t>
  </si>
  <si>
    <t>tillluftsventiler rist</t>
  </si>
  <si>
    <t>till vents grate</t>
  </si>
  <si>
    <t>tillluftsventiler sjalusirist lamellrist dyser</t>
  </si>
  <si>
    <t>till louvres louvre lamellrist nozzles</t>
  </si>
  <si>
    <t>varmluftsgardin</t>
  </si>
  <si>
    <t>hot air curtain</t>
  </si>
  <si>
    <t>varmluftsport</t>
  </si>
  <si>
    <t>hot-air gate</t>
  </si>
  <si>
    <t>vav spjeld trykkstyrt</t>
  </si>
  <si>
    <t>variable airflow damper</t>
  </si>
  <si>
    <t>vav spjeld pneumatisk</t>
  </si>
  <si>
    <t>avfukter</t>
  </si>
  <si>
    <t>dehumidifier</t>
  </si>
  <si>
    <t>dampgenerator</t>
  </si>
  <si>
    <t>boiler steam electric</t>
  </si>
  <si>
    <t>Pset_BoilerTypeCommon: EnergySource: ELECTRICITY</t>
  </si>
  <si>
    <t>etterkjølebatteri</t>
  </si>
  <si>
    <t>ettervarmebatteri</t>
  </si>
  <si>
    <t>ettervarmebatteri elektrisk</t>
  </si>
  <si>
    <t>fancoil</t>
  </si>
  <si>
    <t>hepafilter</t>
  </si>
  <si>
    <t>IfcFilter</t>
  </si>
  <si>
    <t>luftbehandlingsaggregat</t>
  </si>
  <si>
    <t>air handling unit</t>
  </si>
  <si>
    <t>luftbehandlingsaggregat bolig</t>
  </si>
  <si>
    <t>luftfukter</t>
  </si>
  <si>
    <t>humidifier</t>
  </si>
  <si>
    <t>støvutskiller (filter)</t>
  </si>
  <si>
    <t>airparticlefilter</t>
  </si>
  <si>
    <t>varmegjenvinner luft til luft kryss</t>
  </si>
  <si>
    <t>varmegjenvinner luft til luft roterende</t>
  </si>
  <si>
    <t>varmegjenvinner luft til luft batteri</t>
  </si>
  <si>
    <t>varmeveksler vann til vann plate</t>
  </si>
  <si>
    <t>varmeveksler vann til vann rør</t>
  </si>
  <si>
    <t>vifter tilluft</t>
  </si>
  <si>
    <t>avtrekksvifte</t>
  </si>
  <si>
    <t>kjøletårnsvifte</t>
  </si>
  <si>
    <t>røykgassvifte</t>
  </si>
  <si>
    <t>isolasjon brann</t>
  </si>
  <si>
    <t>isolasjon termisk</t>
  </si>
  <si>
    <t>bend bunnledning komfortkjøling</t>
  </si>
  <si>
    <t>rør bunnledning</t>
  </si>
  <si>
    <t>pipe ground</t>
  </si>
  <si>
    <t>bend bunnledning</t>
  </si>
  <si>
    <t>bend ground</t>
  </si>
  <si>
    <t>bend komfortkjøling</t>
  </si>
  <si>
    <t>forbindelsesledd komfortkjøling</t>
  </si>
  <si>
    <t>kryss komfortkjøling</t>
  </si>
  <si>
    <t>rør komfortkjøling</t>
  </si>
  <si>
    <t>t-kryss komfortkjøling</t>
  </si>
  <si>
    <t>armaturer komfortkjøling</t>
  </si>
  <si>
    <t>ventil komfortkjøling</t>
  </si>
  <si>
    <t>spjeld komfortkjøling</t>
  </si>
  <si>
    <t>kjølebaffel</t>
  </si>
  <si>
    <t>energy conversion device</t>
  </si>
  <si>
    <t>kjølebaffel som tilluftventil</t>
  </si>
  <si>
    <t>kjøletak (baffel integrert i tak)</t>
  </si>
  <si>
    <t>kombibaffel</t>
  </si>
  <si>
    <t>kuldemaskin kjølelegemer</t>
  </si>
  <si>
    <t>sirkulasjonspumpe komfortkjøling</t>
  </si>
  <si>
    <t>isolasjon komforkjøling</t>
  </si>
  <si>
    <t>armatur rensing forbruksvann</t>
  </si>
  <si>
    <t>bend rensing forbruksvann</t>
  </si>
  <si>
    <t>forbindelsesledd rensing forbruksvann</t>
  </si>
  <si>
    <t>kryss rensing forbruksvann</t>
  </si>
  <si>
    <t>cross purifying drinking water</t>
  </si>
  <si>
    <t>rør rensing forbruksvann</t>
  </si>
  <si>
    <t>pipe cleaning water consumption</t>
  </si>
  <si>
    <t>t-kryss rensing forbruksvann</t>
  </si>
  <si>
    <t>T-junction purifying drinking water</t>
  </si>
  <si>
    <t>armatur rensing avløpsvann</t>
  </si>
  <si>
    <t>Armature purification wastewater</t>
  </si>
  <si>
    <t>bensinutskiller</t>
  </si>
  <si>
    <t>.</t>
  </si>
  <si>
    <t>petrol precipitators</t>
  </si>
  <si>
    <t>IfcInterceptor</t>
  </si>
  <si>
    <t>22-22 13 19 23 Fats Oils and Grease Disposal systems</t>
  </si>
  <si>
    <t>fettutskiller</t>
  </si>
  <si>
    <t>grease trap</t>
  </si>
  <si>
    <t>oljeutskiller</t>
  </si>
  <si>
    <t>oil separator</t>
  </si>
  <si>
    <t>bend rensing avløpsvann</t>
  </si>
  <si>
    <t>bend cleansing wastewater</t>
  </si>
  <si>
    <t>forbindelsesledd rensing avløpsvann</t>
  </si>
  <si>
    <t>linkers cleansing wastewater</t>
  </si>
  <si>
    <t>kryss rensing avløpsvann</t>
  </si>
  <si>
    <t>cross cleansing wastewater</t>
  </si>
  <si>
    <t>rør rensing avløpsvann</t>
  </si>
  <si>
    <t>tube cleaning wastewater</t>
  </si>
  <si>
    <t>t-kryss rensing avløpsvann</t>
  </si>
  <si>
    <t>T-junction cleansing wastewater</t>
  </si>
  <si>
    <t>syklon</t>
  </si>
  <si>
    <t>cyclone</t>
  </si>
  <si>
    <t>armatur rensing svømmebasseng</t>
  </si>
  <si>
    <t>Armature purification pool</t>
  </si>
  <si>
    <t>bend rensing svømmebasseng</t>
  </si>
  <si>
    <t>bend purification pool</t>
  </si>
  <si>
    <t>forbindelsesledd rensing svømmebasseng</t>
  </si>
  <si>
    <t>linkers purification pool</t>
  </si>
  <si>
    <t>kryss rensing svømmebasseng</t>
  </si>
  <si>
    <t>cross cleansing pool</t>
  </si>
  <si>
    <t>rør rensing svømmebasseng</t>
  </si>
  <si>
    <t>tube cleaning pool</t>
  </si>
  <si>
    <t>t-kryss rensing svømmebasseng</t>
  </si>
  <si>
    <t>T-junction purification pool</t>
  </si>
  <si>
    <t>anodisk oksidasjon</t>
  </si>
  <si>
    <t>anodic oxidation</t>
  </si>
  <si>
    <t>inntakssil</t>
  </si>
  <si>
    <t>Intake</t>
  </si>
  <si>
    <t>RO vann</t>
  </si>
  <si>
    <t>RO water</t>
  </si>
  <si>
    <t>vanrenseanlegg RO vann</t>
  </si>
  <si>
    <t>vanrenseanlegg RO water</t>
  </si>
  <si>
    <t>automatsikring</t>
  </si>
  <si>
    <t>circuit breaker automatic fuse</t>
  </si>
  <si>
    <t>effektbryter</t>
  </si>
  <si>
    <t>circuit breaker</t>
  </si>
  <si>
    <t>isolasjonsovervåking</t>
  </si>
  <si>
    <t>insulation monitoring device</t>
  </si>
  <si>
    <t>jordfeilbryter</t>
  </si>
  <si>
    <t>earth fault breaker</t>
  </si>
  <si>
    <t>jordfeilovervåking</t>
  </si>
  <si>
    <t>earth faullt monitoring device</t>
  </si>
  <si>
    <t>jordfeilvern</t>
  </si>
  <si>
    <t>earth fault protection</t>
  </si>
  <si>
    <t>motorvern</t>
  </si>
  <si>
    <t>motor protective device</t>
  </si>
  <si>
    <t>overspenningsvern</t>
  </si>
  <si>
    <t>overvoltage protection</t>
  </si>
  <si>
    <t>sikring</t>
  </si>
  <si>
    <t>circuit breaker fuse</t>
  </si>
  <si>
    <t>spenningsovervåkningsmåler</t>
  </si>
  <si>
    <t>voltage control unit</t>
  </si>
  <si>
    <t>termisk sikring</t>
  </si>
  <si>
    <t>tthermal cut-out</t>
  </si>
  <si>
    <t>termovakt</t>
  </si>
  <si>
    <t>thermal monitoring device</t>
  </si>
  <si>
    <t>armaturskinne</t>
  </si>
  <si>
    <t>lighting trunking cable tray</t>
  </si>
  <si>
    <t>rør elkraft</t>
  </si>
  <si>
    <t>power cable conduit pipe</t>
  </si>
  <si>
    <t>bend kabelføring</t>
  </si>
  <si>
    <t>power cable conduit fitting</t>
  </si>
  <si>
    <t>kryss kabelføring</t>
  </si>
  <si>
    <t>t-kryss kabelføring</t>
  </si>
  <si>
    <t>overgang kabelføring</t>
  </si>
  <si>
    <t>gulvboks innstøpt</t>
  </si>
  <si>
    <t>floor box encased</t>
  </si>
  <si>
    <t>gulvkanal innstøpt</t>
  </si>
  <si>
    <t>floor cable cover encased</t>
  </si>
  <si>
    <t>kabelbro</t>
  </si>
  <si>
    <t>cable tray</t>
  </si>
  <si>
    <t>kabelkanal</t>
  </si>
  <si>
    <t>cable duct</t>
  </si>
  <si>
    <t>kabelstige</t>
  </si>
  <si>
    <t>cable ladder</t>
  </si>
  <si>
    <t>kanal elkraft</t>
  </si>
  <si>
    <t>cable duct electric</t>
  </si>
  <si>
    <t>kanal innfelt</t>
  </si>
  <si>
    <t>cable duct inserted</t>
  </si>
  <si>
    <t>kanal på vegg</t>
  </si>
  <si>
    <t>cable duct wall mounted</t>
  </si>
  <si>
    <t>mast med veggfeste</t>
  </si>
  <si>
    <t>pylon with wall fastening</t>
  </si>
  <si>
    <t>nedføringsstav</t>
  </si>
  <si>
    <t>service pole</t>
  </si>
  <si>
    <t>kabelgjennomføring</t>
  </si>
  <si>
    <t>cable bushing</t>
  </si>
  <si>
    <t>rørgjennomføring i fasade</t>
  </si>
  <si>
    <t>pipe bushing in facade</t>
  </si>
  <si>
    <t>alarmtablå for isoalsjonsfeil</t>
  </si>
  <si>
    <t>alarm panel for electrical isolation faults</t>
  </si>
  <si>
    <t>forbindelsesledd jording</t>
  </si>
  <si>
    <t>joint earth protection</t>
  </si>
  <si>
    <t>jordledere</t>
  </si>
  <si>
    <t>jordelektrode</t>
  </si>
  <si>
    <t>earth protection electrode conductor bar</t>
  </si>
  <si>
    <t>jordingspunkt</t>
  </si>
  <si>
    <t>earth point</t>
  </si>
  <si>
    <t>jordskinne</t>
  </si>
  <si>
    <t>earth bar</t>
  </si>
  <si>
    <t>lynavleder</t>
  </si>
  <si>
    <t>lightning arrester lightning discharger</t>
  </si>
  <si>
    <t>installasjonsforbindelse</t>
  </si>
  <si>
    <t>installation fitting</t>
  </si>
  <si>
    <t>installasjonskanal</t>
  </si>
  <si>
    <t>flow segment  installation duct</t>
  </si>
  <si>
    <t>sengeromskanal</t>
  </si>
  <si>
    <t>hospital bedroom duct</t>
  </si>
  <si>
    <t>stikkontakt</t>
  </si>
  <si>
    <t>power outlet  power socket  powerpoint</t>
  </si>
  <si>
    <t>isolasjon elkraft</t>
  </si>
  <si>
    <t>insulation electrical</t>
  </si>
  <si>
    <t>kabler</t>
  </si>
  <si>
    <t>cables</t>
  </si>
  <si>
    <t>nettstasjoner</t>
  </si>
  <si>
    <t>power distribution substation</t>
  </si>
  <si>
    <t>spenningstransformator</t>
  </si>
  <si>
    <t>voltage transformer</t>
  </si>
  <si>
    <t>bend stigekabel</t>
  </si>
  <si>
    <t>cable riser bends</t>
  </si>
  <si>
    <t>kryss stigekabel</t>
  </si>
  <si>
    <t>cable riser x-intersections (tees)</t>
  </si>
  <si>
    <t>t-kryss stigekabel</t>
  </si>
  <si>
    <t>cable riser t-intersection</t>
  </si>
  <si>
    <t>overgang stigekabel</t>
  </si>
  <si>
    <t>cable riser reducer</t>
  </si>
  <si>
    <t>hovedtavle hovedfordeling</t>
  </si>
  <si>
    <t>main distribution board</t>
  </si>
  <si>
    <t>stigekabel</t>
  </si>
  <si>
    <t>cable riser</t>
  </si>
  <si>
    <t>strømskinne</t>
  </si>
  <si>
    <t>bus duct  power rail uninterruptible  no-break</t>
  </si>
  <si>
    <t>strømskinne avbruddsfri</t>
  </si>
  <si>
    <t>strømskinne normalkraft</t>
  </si>
  <si>
    <t>bus duct  power rail ordinary power supply</t>
  </si>
  <si>
    <t>strømskinne nødstrøm</t>
  </si>
  <si>
    <t>bus duct  power rail emergency power supply</t>
  </si>
  <si>
    <t>avgangsboks strømskinne</t>
  </si>
  <si>
    <t>fordeling el</t>
  </si>
  <si>
    <t>distrbution board electrical</t>
  </si>
  <si>
    <t>alarmtablå</t>
  </si>
  <si>
    <t>alarm panel</t>
  </si>
  <si>
    <t>alarmtablå gass</t>
  </si>
  <si>
    <t>alarm panel gas</t>
  </si>
  <si>
    <t>bevegelsesdetektor</t>
  </si>
  <si>
    <t>movement detector</t>
  </si>
  <si>
    <t>bryter</t>
  </si>
  <si>
    <t>switch</t>
  </si>
  <si>
    <t>gassovervåkning sentralenhet</t>
  </si>
  <si>
    <t>central unit for gas surveillance</t>
  </si>
  <si>
    <t>kabling el alminnelig forbruk</t>
  </si>
  <si>
    <t>cablling electrical ordinary supply</t>
  </si>
  <si>
    <t>koblinger alminnelig forbruk</t>
  </si>
  <si>
    <t>flow fitting general</t>
  </si>
  <si>
    <t>koblingsboks</t>
  </si>
  <si>
    <t>junction box</t>
  </si>
  <si>
    <t>tablå</t>
  </si>
  <si>
    <t>multiuttak 3p (kun 230v)</t>
  </si>
  <si>
    <t>junction box 3 point</t>
  </si>
  <si>
    <t>styrepanel op lampe</t>
  </si>
  <si>
    <t>control panel</t>
  </si>
  <si>
    <t>tilobling lys</t>
  </si>
  <si>
    <t>junction point lighting</t>
  </si>
  <si>
    <t>underfordeling normal</t>
  </si>
  <si>
    <t>sub distribution board</t>
  </si>
  <si>
    <t>gassdetektor</t>
  </si>
  <si>
    <t>gas detector</t>
  </si>
  <si>
    <t>kabling el driftsteknisk</t>
  </si>
  <si>
    <t>cabling electrical technical buidling systems</t>
  </si>
  <si>
    <t>koblinger driftsteknisk</t>
  </si>
  <si>
    <t>flow fitting technical operations</t>
  </si>
  <si>
    <t>magnetventil</t>
  </si>
  <si>
    <t>magnetic valve</t>
  </si>
  <si>
    <t>magnetventil gas</t>
  </si>
  <si>
    <t>magnetic valve gas</t>
  </si>
  <si>
    <t>stikkontakt driftsteknisk</t>
  </si>
  <si>
    <t>power outlet  power socket  powerpoint technical buidling systems</t>
  </si>
  <si>
    <t>underfordeling bygningsdrift</t>
  </si>
  <si>
    <t>sub distribution board technical building systems</t>
  </si>
  <si>
    <t>kabling el virksomhet</t>
  </si>
  <si>
    <t>cabling electrical for tennant operations</t>
  </si>
  <si>
    <t>koblinger virksomhet</t>
  </si>
  <si>
    <t>flow fitting business</t>
  </si>
  <si>
    <t>stikkontakt virksomhet</t>
  </si>
  <si>
    <t>power outlet  power socket  powerpoint tennant operations</t>
  </si>
  <si>
    <t>underfordeling produksjon</t>
  </si>
  <si>
    <t>termostat</t>
  </si>
  <si>
    <t>thermostat</t>
  </si>
  <si>
    <t>ribberørsovn</t>
  </si>
  <si>
    <t>space heater finned pipe</t>
  </si>
  <si>
    <t>takkassettovn</t>
  </si>
  <si>
    <t>space heater panel ceiling type</t>
  </si>
  <si>
    <t>varmeovn</t>
  </si>
  <si>
    <t>space heater wall mounted</t>
  </si>
  <si>
    <t>generator</t>
  </si>
  <si>
    <t>electric generator set</t>
  </si>
  <si>
    <t>tank</t>
  </si>
  <si>
    <t>storage tank</t>
  </si>
  <si>
    <t>dagtank dieselaggregat</t>
  </si>
  <si>
    <t>storage tank fuel</t>
  </si>
  <si>
    <t>nødstrømsaggregat</t>
  </si>
  <si>
    <t>electric generator set emergency power</t>
  </si>
  <si>
    <t>ups</t>
  </si>
  <si>
    <t>uninterruptible power supply</t>
  </si>
  <si>
    <t>batteri</t>
  </si>
  <si>
    <t>battery plants</t>
  </si>
  <si>
    <t>hub</t>
  </si>
  <si>
    <t>intercom</t>
  </si>
  <si>
    <t>master intercom</t>
  </si>
  <si>
    <t>datauttak</t>
  </si>
  <si>
    <t>data outlet</t>
  </si>
  <si>
    <t>telefonuttak</t>
  </si>
  <si>
    <t>telephone outlet</t>
  </si>
  <si>
    <t>fellesuttak</t>
  </si>
  <si>
    <t>common outlet</t>
  </si>
  <si>
    <t>kontrollpanel</t>
  </si>
  <si>
    <t>operating panel</t>
  </si>
  <si>
    <t>gsm antenne</t>
  </si>
  <si>
    <t>gsm antenna</t>
  </si>
  <si>
    <t>høyttaler intercom</t>
  </si>
  <si>
    <t>speaker intercom</t>
  </si>
  <si>
    <t>porttelefon</t>
  </si>
  <si>
    <t>port phone</t>
  </si>
  <si>
    <t>ringeklokke</t>
  </si>
  <si>
    <t>alarm clock</t>
  </si>
  <si>
    <t>alarmhorn</t>
  </si>
  <si>
    <t>alarm horn</t>
  </si>
  <si>
    <t>alarmhorn - ip33c men sertifisert for ip65</t>
  </si>
  <si>
    <t>alarm horn - ip33c</t>
  </si>
  <si>
    <t>alarmhøyttaler</t>
  </si>
  <si>
    <t>alarm speaker</t>
  </si>
  <si>
    <t>alarmhøyttaler - (branntalevarsling) - innfelt</t>
  </si>
  <si>
    <t>alarm speaker recessed</t>
  </si>
  <si>
    <t>alarmstasjon</t>
  </si>
  <si>
    <t>alarm station</t>
  </si>
  <si>
    <t>aspirasjonsdetektor</t>
  </si>
  <si>
    <t>smoke detector aspiration</t>
  </si>
  <si>
    <t>brannalarmsentral</t>
  </si>
  <si>
    <t>fire alarm control panel</t>
  </si>
  <si>
    <t>branndetektor</t>
  </si>
  <si>
    <t>smoke detector</t>
  </si>
  <si>
    <t>branndetektor ionisk</t>
  </si>
  <si>
    <t>smoke detector ionic</t>
  </si>
  <si>
    <t>branndetektor multikriterie</t>
  </si>
  <si>
    <t>smoke detector multisensor</t>
  </si>
  <si>
    <t>branndetektor multikriterie - flash</t>
  </si>
  <si>
    <t>smoke detector multisensor with flash</t>
  </si>
  <si>
    <t>branndetektor optisk</t>
  </si>
  <si>
    <t>smoke detector optical</t>
  </si>
  <si>
    <t>branndetektor optisk - aspirasjon</t>
  </si>
  <si>
    <t>smoke detector optical - aspiration</t>
  </si>
  <si>
    <t>branndetektor optisk - flash</t>
  </si>
  <si>
    <t>smoke detector optical with flash</t>
  </si>
  <si>
    <t>branndetektor optisk over himling med paralellampe ved tak under himling</t>
  </si>
  <si>
    <t>smoke detektor optical above ceiling with parallell lamp underneath ceiling</t>
  </si>
  <si>
    <t>branndetektor - optisk under datagulv med paralellampe +1800 over datagulv</t>
  </si>
  <si>
    <t>smoke detecter optical underneath computer room floor with parallell lamp +1800 above floor</t>
  </si>
  <si>
    <t>branndetektor termisk - flash</t>
  </si>
  <si>
    <t>smoke detector thermal with flash</t>
  </si>
  <si>
    <t>branndetektor termisk - klasse 1 (60gr)</t>
  </si>
  <si>
    <t>smoke detector thermal class 1</t>
  </si>
  <si>
    <t>branndetektor termisk - klasse 2</t>
  </si>
  <si>
    <t>smoke detector thermal class 2</t>
  </si>
  <si>
    <t>branndetektor termisk - klasse 3</t>
  </si>
  <si>
    <t>smoke detector thermal class 3</t>
  </si>
  <si>
    <t>branndetektor i kanal</t>
  </si>
  <si>
    <t>smoke detector placed in duct</t>
  </si>
  <si>
    <t>brannspjeldsentral</t>
  </si>
  <si>
    <t>fire damper control panel</t>
  </si>
  <si>
    <t>dørlukker</t>
  </si>
  <si>
    <t>door closer</t>
  </si>
  <si>
    <t>døråpner</t>
  </si>
  <si>
    <t>door opner</t>
  </si>
  <si>
    <t>flammedetektor</t>
  </si>
  <si>
    <t>flame detector</t>
  </si>
  <si>
    <t>låskasse</t>
  </si>
  <si>
    <t>lock case</t>
  </si>
  <si>
    <t>låskasse med vrider</t>
  </si>
  <si>
    <t>lock case with vrider</t>
  </si>
  <si>
    <t>magnetdørholder</t>
  </si>
  <si>
    <t>magnetic door holder</t>
  </si>
  <si>
    <t>magnetlås</t>
  </si>
  <si>
    <t>magnetic doorlock</t>
  </si>
  <si>
    <t>brannmelder</t>
  </si>
  <si>
    <t>fire alarm</t>
  </si>
  <si>
    <t>brannmelder manuell</t>
  </si>
  <si>
    <t>manual fire alarm</t>
  </si>
  <si>
    <t>orienteringstablå</t>
  </si>
  <si>
    <t>information display</t>
  </si>
  <si>
    <t>røyklukemotor</t>
  </si>
  <si>
    <t>smoke weed engine electric</t>
  </si>
  <si>
    <t>røyklukemotor trykkluft</t>
  </si>
  <si>
    <t>smoke weed engine compressed air</t>
  </si>
  <si>
    <t>trafo</t>
  </si>
  <si>
    <t>Transformer</t>
  </si>
  <si>
    <t>trafo 230-24 vdc - for dørholdemagnet</t>
  </si>
  <si>
    <t>transformer 230-24 vdc - for dørholdemagnet</t>
  </si>
  <si>
    <t>overfallsalarm knapp</t>
  </si>
  <si>
    <t>alarm system button</t>
  </si>
  <si>
    <t>bryter overfallsalarm</t>
  </si>
  <si>
    <t>alarm system switch</t>
  </si>
  <si>
    <t>ferittantenne for overfallsalarm</t>
  </si>
  <si>
    <t>ferittantenne</t>
  </si>
  <si>
    <t>bryter fotbetjent</t>
  </si>
  <si>
    <t>switch foot serviced</t>
  </si>
  <si>
    <t>bryter albuebetjent</t>
  </si>
  <si>
    <t>switch elbow serviced</t>
  </si>
  <si>
    <t>impulsbryter</t>
  </si>
  <si>
    <t>switch impulse</t>
  </si>
  <si>
    <t>impulsbryter for lukking av dør</t>
  </si>
  <si>
    <t>switch impulse for door</t>
  </si>
  <si>
    <t>bryter snor, snorbryter</t>
  </si>
  <si>
    <t>switch string</t>
  </si>
  <si>
    <t>undersentral C-node</t>
  </si>
  <si>
    <t>undersentral for posisjonssender</t>
  </si>
  <si>
    <t>vaktromspanel for overfallsalarm</t>
  </si>
  <si>
    <t>avstillingspanel</t>
  </si>
  <si>
    <t>pasientsignal</t>
  </si>
  <si>
    <t>pasientsignal med trekkekontakt - påvegg</t>
  </si>
  <si>
    <t>magnetkontakt innbruddsalarm</t>
  </si>
  <si>
    <t>magnetkontakt</t>
  </si>
  <si>
    <t>dome kamera (ptz-kamera)</t>
  </si>
  <si>
    <t>ip-kamera</t>
  </si>
  <si>
    <t>ip camera</t>
  </si>
  <si>
    <t>ip-kamera innendørs</t>
  </si>
  <si>
    <t>ip camera indoor</t>
  </si>
  <si>
    <t>kamera</t>
  </si>
  <si>
    <t>camera</t>
  </si>
  <si>
    <t>kamera utendørs</t>
  </si>
  <si>
    <t>camera outdoor</t>
  </si>
  <si>
    <t>høyttaler</t>
  </si>
  <si>
    <t>speaker</t>
  </si>
  <si>
    <t>mikrofon</t>
  </si>
  <si>
    <t>microphone</t>
  </si>
  <si>
    <t>teleslynge</t>
  </si>
  <si>
    <t>telecoil</t>
  </si>
  <si>
    <t>teleslynge i gulv</t>
  </si>
  <si>
    <t>telecoil floor</t>
  </si>
  <si>
    <t>teleslynge i skranke</t>
  </si>
  <si>
    <t>telecoil in desk</t>
  </si>
  <si>
    <t>av-skjerm</t>
  </si>
  <si>
    <t>av system display</t>
  </si>
  <si>
    <t>dome kamera</t>
  </si>
  <si>
    <t>dome camera</t>
  </si>
  <si>
    <t>dørbryter av-anlegg</t>
  </si>
  <si>
    <t>switch door av system</t>
  </si>
  <si>
    <t>info-skjerm</t>
  </si>
  <si>
    <t>info display</t>
  </si>
  <si>
    <t>iptv mottaker</t>
  </si>
  <si>
    <t>iptv receiver</t>
  </si>
  <si>
    <t>mottakerantenne</t>
  </si>
  <si>
    <t>mottakerantenne mikrofon</t>
  </si>
  <si>
    <t>berøringsfølsom bildeskjerm</t>
  </si>
  <si>
    <t>styrepanel berøringsskjerm</t>
  </si>
  <si>
    <t>uttak AV</t>
  </si>
  <si>
    <t>output av</t>
  </si>
  <si>
    <t>videokonferansekamera (ptz)</t>
  </si>
  <si>
    <t>videoconferencing camera</t>
  </si>
  <si>
    <t>videoprosjektør</t>
  </si>
  <si>
    <t>video projector</t>
  </si>
  <si>
    <t>regnføler for solavskjerming – rd-20c</t>
  </si>
  <si>
    <t>fuktføler</t>
  </si>
  <si>
    <t>moister sensor</t>
  </si>
  <si>
    <t>temperaturføler vegg</t>
  </si>
  <si>
    <t>temparature sensor</t>
  </si>
  <si>
    <t>co giver</t>
  </si>
  <si>
    <t>co sensor</t>
  </si>
  <si>
    <t>co2-føler</t>
  </si>
  <si>
    <t>co2 sensor</t>
  </si>
  <si>
    <t>fuktgiver</t>
  </si>
  <si>
    <t>manometer</t>
  </si>
  <si>
    <t>pir føler</t>
  </si>
  <si>
    <t>pir (passive infra red) sensor</t>
  </si>
  <si>
    <t>romføler</t>
  </si>
  <si>
    <t>romføler sone</t>
  </si>
  <si>
    <t>spjeldmotor</t>
  </si>
  <si>
    <t>strømningsmåler vann</t>
  </si>
  <si>
    <t>flow control unit</t>
  </si>
  <si>
    <t>temperaturføler vannbåren varme</t>
  </si>
  <si>
    <t>temperaturføler ventilasjonskanal</t>
  </si>
  <si>
    <t>temperaturføler utendørs sd-anlegg</t>
  </si>
  <si>
    <t>temperaturføler</t>
  </si>
  <si>
    <t>termometer</t>
  </si>
  <si>
    <t>thermometer</t>
  </si>
  <si>
    <t>touch panel</t>
  </si>
  <si>
    <t>trafo 230-24 vac</t>
  </si>
  <si>
    <t>trykkgiver</t>
  </si>
  <si>
    <t>vacumgiver</t>
  </si>
  <si>
    <t>vannvakt</t>
  </si>
  <si>
    <t>ventilmotor</t>
  </si>
  <si>
    <t>ventilmotor aerotemp LON</t>
  </si>
  <si>
    <t>ventilmotor fancoil 24vac 0-10v</t>
  </si>
  <si>
    <t>ventilmotor fancoil LON</t>
  </si>
  <si>
    <t>ventilmotor gulvarme LON</t>
  </si>
  <si>
    <t>ventilmotor kjølebaffel 24vac 0-10v</t>
  </si>
  <si>
    <t>ventilmotor kjølebaffel LON</t>
  </si>
  <si>
    <t>ventilmotor kjølebatteri LON</t>
  </si>
  <si>
    <t>ventilmotor radiator LON</t>
  </si>
  <si>
    <t>ventilmotor varmebatteri LON</t>
  </si>
  <si>
    <t>bryter 1-kanals</t>
  </si>
  <si>
    <t>switch 1-chanell</t>
  </si>
  <si>
    <t>akustikkføler</t>
  </si>
  <si>
    <t>acoustic sensor</t>
  </si>
  <si>
    <t>gateway</t>
  </si>
  <si>
    <t>KNX - dali gateway</t>
  </si>
  <si>
    <t>bevegelsesføler</t>
  </si>
  <si>
    <t>KNX bevegelsesføler</t>
  </si>
  <si>
    <t>dagslysføler</t>
  </si>
  <si>
    <t>KNX dagslysføler</t>
  </si>
  <si>
    <t>KNX tilstedeværelsesdetektor</t>
  </si>
  <si>
    <t>1-kanal bryter for persienne</t>
  </si>
  <si>
    <t>kontroller for solavskjerming</t>
  </si>
  <si>
    <t>persienne master control</t>
  </si>
  <si>
    <t>nivåmåler</t>
  </si>
  <si>
    <t>level control unit</t>
  </si>
  <si>
    <t>strømningsvakt</t>
  </si>
  <si>
    <t>temperaturvakt</t>
  </si>
  <si>
    <t>vindføler</t>
  </si>
  <si>
    <t>værstasjon</t>
  </si>
  <si>
    <t>overtrykksspjeld</t>
  </si>
  <si>
    <t>prefabrikerte kjølerom</t>
  </si>
  <si>
    <t>prefabrikerte fryserom</t>
  </si>
  <si>
    <t>prefabrikerte baderom</t>
  </si>
  <si>
    <t>prefabrikerte skjermrom</t>
  </si>
  <si>
    <t>prefabrikerte sjakter</t>
  </si>
  <si>
    <t>andre prefabrikerte rom</t>
  </si>
  <si>
    <t>heis</t>
  </si>
  <si>
    <t>elevator</t>
  </si>
  <si>
    <t>rulletrapp</t>
  </si>
  <si>
    <t>escalator</t>
  </si>
  <si>
    <t>rullebånd</t>
  </si>
  <si>
    <t>moving walkway</t>
  </si>
  <si>
    <t>løftebord</t>
  </si>
  <si>
    <t>trappeheis</t>
  </si>
  <si>
    <t>626</t>
  </si>
  <si>
    <t>kran</t>
  </si>
  <si>
    <t>craneway</t>
  </si>
  <si>
    <t>talje</t>
  </si>
  <si>
    <t>fasadeheis</t>
  </si>
  <si>
    <t>fasadevask hengestillas</t>
  </si>
  <si>
    <t>fasadevask monorail med  løpekatt</t>
  </si>
  <si>
    <t>topografisk overflate</t>
  </si>
  <si>
    <t>toposurface</t>
  </si>
  <si>
    <t>støttemur terreng</t>
  </si>
  <si>
    <t xml:space="preserve">retaining terrein wall </t>
  </si>
  <si>
    <t>vegg</t>
  </si>
  <si>
    <t>wall</t>
  </si>
  <si>
    <t>vegg gabion gabionvegg</t>
  </si>
  <si>
    <t>wall gabione</t>
  </si>
  <si>
    <t>vegg murt murvegg</t>
  </si>
  <si>
    <t>wall brick</t>
  </si>
  <si>
    <t>vegg plasstøpt plasstøpt vegg</t>
  </si>
  <si>
    <t>wall in-situ concrete</t>
  </si>
  <si>
    <t>vegg prefab prefabrikert vegg</t>
  </si>
  <si>
    <t>wall pre-fab</t>
  </si>
  <si>
    <t>vegg spunt spuntvegg</t>
  </si>
  <si>
    <t>sheet piling</t>
  </si>
  <si>
    <t>vegg stablet stablet vegg</t>
  </si>
  <si>
    <t>wall stacked</t>
  </si>
  <si>
    <t>rampe i terreng</t>
  </si>
  <si>
    <t>ramp in terrain</t>
  </si>
  <si>
    <t>Pset_RampCommon.IsExternal: TRUE</t>
  </si>
  <si>
    <t>trapp i terreng</t>
  </si>
  <si>
    <t>stair in terrain</t>
  </si>
  <si>
    <t>terrengtrapp</t>
  </si>
  <si>
    <t>terrain based stair</t>
  </si>
  <si>
    <t>eseltrapp</t>
  </si>
  <si>
    <t>stair</t>
  </si>
  <si>
    <t>anfi part of staircase</t>
  </si>
  <si>
    <t>gjerde</t>
  </si>
  <si>
    <t>fence</t>
  </si>
  <si>
    <t>dekke utendørs</t>
  </si>
  <si>
    <t>external floor external slab</t>
  </si>
  <si>
    <t>dekkekant utendørs</t>
  </si>
  <si>
    <t>external slab edge</t>
  </si>
  <si>
    <t>fundamentering</t>
  </si>
  <si>
    <t>structural foundation</t>
  </si>
  <si>
    <t>brannhydrant</t>
  </si>
  <si>
    <t>brønn</t>
  </si>
  <si>
    <t>kum</t>
  </si>
  <si>
    <t>Septiktank Pumpekum Trekkekummer</t>
  </si>
  <si>
    <t>kumlokk</t>
  </si>
  <si>
    <t>Deler</t>
  </si>
  <si>
    <t>Deler til kanal- og rørsytemer. Bend avgrening albu anboringsklammer. Lokk.</t>
  </si>
  <si>
    <t>nedfelt renne</t>
  </si>
  <si>
    <t>renne VA</t>
  </si>
  <si>
    <t>drain wastewater</t>
  </si>
  <si>
    <t>rør VA</t>
  </si>
  <si>
    <t>wastwater pipe</t>
  </si>
  <si>
    <t>rørkobling VA</t>
  </si>
  <si>
    <t>plumbing fixtures joint</t>
  </si>
  <si>
    <t>sluk VA</t>
  </si>
  <si>
    <t>drain</t>
  </si>
  <si>
    <t>Avløp Sluk Vannlås</t>
  </si>
  <si>
    <t>vannpost</t>
  </si>
  <si>
    <t>water dispenser</t>
  </si>
  <si>
    <t>vei</t>
  </si>
  <si>
    <t>road</t>
  </si>
  <si>
    <t>IfcGeographicElement</t>
  </si>
  <si>
    <t>parkeringsareal utvendig utvendig parkering</t>
  </si>
  <si>
    <t>Parkeringsareal utvendig modelles av LARK</t>
  </si>
  <si>
    <t>parking outdoors</t>
  </si>
  <si>
    <t>Parkingspace external modeled by Landscape Architect</t>
  </si>
  <si>
    <t>beplantning</t>
  </si>
  <si>
    <t>planting</t>
  </si>
  <si>
    <t>lekeapparat fast</t>
  </si>
  <si>
    <t>playground equipment fixed</t>
  </si>
  <si>
    <t>møblering</t>
  </si>
  <si>
    <t>furniture</t>
  </si>
  <si>
    <t>sportsinventar fast</t>
  </si>
  <si>
    <t>brutto areal</t>
  </si>
  <si>
    <t>gross area</t>
  </si>
  <si>
    <t>parkeringsareal innvendig</t>
  </si>
  <si>
    <t>Parkeringsareal innvendig modelles av ARK</t>
  </si>
  <si>
    <t>parking internal</t>
  </si>
  <si>
    <t>Parkingspace internal modeled by Architect</t>
  </si>
  <si>
    <t>rom</t>
  </si>
  <si>
    <t>space room</t>
  </si>
  <si>
    <t xml:space="preserve">RLO = Real Life Object </t>
  </si>
  <si>
    <t>Støttemur, bygg</t>
  </si>
  <si>
    <t>Isolasjon, fundament</t>
  </si>
  <si>
    <t>Søyle, generisk</t>
  </si>
  <si>
    <t>Bjelke, generisk</t>
  </si>
  <si>
    <t>Brakett, bæresystem</t>
  </si>
  <si>
    <t>Isolasjon, bæresystem</t>
  </si>
  <si>
    <t>Yttervegg, generisk</t>
  </si>
  <si>
    <t>Glassfasade, generisk</t>
  </si>
  <si>
    <t>Dør, karusell, utvendig</t>
  </si>
  <si>
    <t>Dør, utvendig</t>
  </si>
  <si>
    <t>Dør, utvendig, brann</t>
  </si>
  <si>
    <t>Port, utvendig</t>
  </si>
  <si>
    <t>Vindu, utvendig</t>
  </si>
  <si>
    <t xml:space="preserve">Kledning, utvendig </t>
  </si>
  <si>
    <t xml:space="preserve">Kledning, innside yttervegg </t>
  </si>
  <si>
    <t>Brakett, yttervegg</t>
  </si>
  <si>
    <t>Innvervegg, generisk</t>
  </si>
  <si>
    <t>Innervegg, bærende</t>
  </si>
  <si>
    <t>Innervegg, ikke-bærende</t>
  </si>
  <si>
    <t>Glassvegg, generisk</t>
  </si>
  <si>
    <t>Dør, innvendig</t>
  </si>
  <si>
    <t>Vinduer, innvendig</t>
  </si>
  <si>
    <t>Kledning, innervegg</t>
  </si>
  <si>
    <t>Brakett, innervegg</t>
  </si>
  <si>
    <t>Dekke, generisk</t>
  </si>
  <si>
    <t>Gulv, på grunn</t>
  </si>
  <si>
    <t>Gulv, oppforet</t>
  </si>
  <si>
    <t>Gulv, påstøp</t>
  </si>
  <si>
    <t>Gulvsystem, datagulv</t>
  </si>
  <si>
    <t>Systemhimling, skjørt</t>
  </si>
  <si>
    <t>Isolasjon, dekke</t>
  </si>
  <si>
    <t>Tak, generisk</t>
  </si>
  <si>
    <t>Tak</t>
  </si>
  <si>
    <t>Tak, flat</t>
  </si>
  <si>
    <t>Nedsenket himling, utendørs</t>
  </si>
  <si>
    <t>Takelement, prefabrikert</t>
  </si>
  <si>
    <t>Pipe og ildsted, murt</t>
  </si>
  <si>
    <t>Pipe og ildsted, prefabribert</t>
  </si>
  <si>
    <t>Kjøkkeninnredning, fast inventar</t>
  </si>
  <si>
    <t>Badekar, generisk</t>
  </si>
  <si>
    <t>Servant, generisk</t>
  </si>
  <si>
    <t>Toalett, generisk</t>
  </si>
  <si>
    <t>Trapp, innvendig</t>
  </si>
  <si>
    <t>Trapp, utvendig</t>
  </si>
  <si>
    <t>Dekke, balkong</t>
  </si>
  <si>
    <t>Rekkverk, balkong</t>
  </si>
  <si>
    <t>Vegg, balkong</t>
  </si>
  <si>
    <t>Utsparing, foreslått</t>
  </si>
  <si>
    <t>Rørfordeler, med skap - komplett</t>
  </si>
  <si>
    <t>Buffertank, temperaturutjevning</t>
  </si>
  <si>
    <t>Buffertank, trykkutjevning</t>
  </si>
  <si>
    <t>Bend, bunnledning sanitær</t>
  </si>
  <si>
    <t>Forbindelsesledd, sanitær i grunn</t>
  </si>
  <si>
    <t>Kryss, bunnledning</t>
  </si>
  <si>
    <t>Rør, bunnledning sanitær</t>
  </si>
  <si>
    <t>T-kryss, bunnledning sanitær</t>
  </si>
  <si>
    <t>Bend, sanitær</t>
  </si>
  <si>
    <t>Forbindelsesledd, sanitær</t>
  </si>
  <si>
    <t>Kryss, sanitær</t>
  </si>
  <si>
    <t>Rør, sanitær</t>
  </si>
  <si>
    <t>Fleksible rør, sanitær</t>
  </si>
  <si>
    <t xml:space="preserve">Skap for rørfordeler, fordelerskap </t>
  </si>
  <si>
    <t>T-kryss, sanitær</t>
  </si>
  <si>
    <t>Rørfordelerskap, gass (kun tur)</t>
  </si>
  <si>
    <t>Blandebatteri, med øyedusj</t>
  </si>
  <si>
    <t>Slangekran, vegg</t>
  </si>
  <si>
    <t>Stengeventil, kule</t>
  </si>
  <si>
    <t>Stengeventil, spjeld</t>
  </si>
  <si>
    <t>Stengeventil, sluse ratt</t>
  </si>
  <si>
    <t>Stengeventil, sluse hendel</t>
  </si>
  <si>
    <t>Stengeventil, sluse gir</t>
  </si>
  <si>
    <t>Stengeventil, kule, MS</t>
  </si>
  <si>
    <t>Strupeventil, VVC</t>
  </si>
  <si>
    <t>Frostfri spylekran, utvendig</t>
  </si>
  <si>
    <t>Vannuttak, med spylevogn</t>
  </si>
  <si>
    <t>Bidet, gulvmontert mot vegg</t>
  </si>
  <si>
    <t>Bidet, frittstående gulvmontert</t>
  </si>
  <si>
    <t>Bidet, veggmontert</t>
  </si>
  <si>
    <t>Dusj komplett med blandebatteri, fast dusjhode</t>
  </si>
  <si>
    <t>Dusj komplett med blandebatteri, stang, løst dusjhode</t>
  </si>
  <si>
    <t>Elektrokjel, sanitær anlegg</t>
  </si>
  <si>
    <t>Vaskekum, keramisk med front satt i benk med overløp</t>
  </si>
  <si>
    <t>Vaskekum, keramisk med front satt i benk uten overløp</t>
  </si>
  <si>
    <t>Pumpe for avløpsvann, neddykkbar</t>
  </si>
  <si>
    <t>Servant, tannlege</t>
  </si>
  <si>
    <t>Servant, kirurgi</t>
  </si>
  <si>
    <t>Servant, tippbar</t>
  </si>
  <si>
    <t>Servant, nedfelt</t>
  </si>
  <si>
    <t>Servant, multippel</t>
  </si>
  <si>
    <t>Servant, HC</t>
  </si>
  <si>
    <t>Vaskekum, stor på bein, rustfri</t>
  </si>
  <si>
    <t>Toalett, HC</t>
  </si>
  <si>
    <t>Toalett klosettskål, på gulv</t>
  </si>
  <si>
    <t>Toalett klosettskål, vegghengt</t>
  </si>
  <si>
    <t>Toalett klosettskål, med sisterne</t>
  </si>
  <si>
    <t>Toalett, komplett</t>
  </si>
  <si>
    <t>Urinal, med bunnrenne</t>
  </si>
  <si>
    <t>Urinal, gammel type</t>
  </si>
  <si>
    <t>VVB, VVX, pumpe etc</t>
  </si>
  <si>
    <t>Isolasjon, sanitærinstallasjoner</t>
  </si>
  <si>
    <t>Aktuator for radiator, elektrisk</t>
  </si>
  <si>
    <t>Aktuator for radiator, manuell</t>
  </si>
  <si>
    <t>Aktuator for radiator, pneumatisk</t>
  </si>
  <si>
    <t>Aktuator for radiator, termostat</t>
  </si>
  <si>
    <t>Rør, bunnledning varme</t>
  </si>
  <si>
    <t>Kryss, bunnledning varme</t>
  </si>
  <si>
    <t>T-kryss, bunnledning varme</t>
  </si>
  <si>
    <t>Bend, bunnledning varme</t>
  </si>
  <si>
    <t>Rør, varme</t>
  </si>
  <si>
    <t>Kryss, varme</t>
  </si>
  <si>
    <t>T-kryss, varme</t>
  </si>
  <si>
    <t>Bend, varme</t>
  </si>
  <si>
    <t>Rørfordelerskap, gulvvarme</t>
  </si>
  <si>
    <t>Strupeventil, bløde</t>
  </si>
  <si>
    <t>Strupeventil, regulering</t>
  </si>
  <si>
    <t>Elektrokjel, varmeanlegg</t>
  </si>
  <si>
    <t>Konvektor, med ventilhus uten egen vifte</t>
  </si>
  <si>
    <t>Isolasjon, varmeinstallasjoner</t>
  </si>
  <si>
    <t>Brannhydrant, ute på gata</t>
  </si>
  <si>
    <t>Brannhydrant, ute på gata, frost</t>
  </si>
  <si>
    <t>Brannskap, innfelt med brannslange</t>
  </si>
  <si>
    <t>Brannskap, på vegg med brannslange</t>
  </si>
  <si>
    <t>Brannslange, trommel</t>
  </si>
  <si>
    <t>Rør, brannslukking vann</t>
  </si>
  <si>
    <t>Kryss, brannslukking vann</t>
  </si>
  <si>
    <t>T-kryss, brannslukking vann</t>
  </si>
  <si>
    <t>Bend, brannslukking vann</t>
  </si>
  <si>
    <t>Utenpåliggende Brannvann Tørropplegg, Avgrening i skap</t>
  </si>
  <si>
    <t>Utenpåliggende Brannvann Tørropplegg, Tilførsel i skap</t>
  </si>
  <si>
    <t>Ventil, brannslokking</t>
  </si>
  <si>
    <t>Isolasjon, sprinkler</t>
  </si>
  <si>
    <t>Jevntrykksventil, sprinklerventil</t>
  </si>
  <si>
    <t>Rør, brannslukking sprinkler</t>
  </si>
  <si>
    <t>Kryss, brannslukking sprinkler</t>
  </si>
  <si>
    <t>T-kryss, brannslukking sprinkler</t>
  </si>
  <si>
    <t>Bend, brannslukking sprinkler</t>
  </si>
  <si>
    <t>Isolasjon, vanntåke</t>
  </si>
  <si>
    <t>Rør, brannslokking tåke</t>
  </si>
  <si>
    <t>Kryss, brannslokking tåke</t>
  </si>
  <si>
    <t>T-kryss, brannslokking tåke</t>
  </si>
  <si>
    <t>Bend, brannslokking tåke</t>
  </si>
  <si>
    <t>Utstyr, dyser, brannslokking tåke</t>
  </si>
  <si>
    <t>Ventil, sprinkler</t>
  </si>
  <si>
    <t>Isolasjon, brannslokking pulver</t>
  </si>
  <si>
    <t>Rør, brannslokking pulver</t>
  </si>
  <si>
    <t>Kryss, brannslokking pulver</t>
  </si>
  <si>
    <t>T-kryss, brannslokking pulver</t>
  </si>
  <si>
    <t>Bend, brannslokking pulver</t>
  </si>
  <si>
    <t>Utstyr, dyser, brannslokking pulver</t>
  </si>
  <si>
    <t>Isolasjon, brannslokking, inertgass</t>
  </si>
  <si>
    <t>Rør, brannslokking inertgass</t>
  </si>
  <si>
    <t>Kryss, brannslokking inertgass</t>
  </si>
  <si>
    <t>T-kryss, brannslokking inertgass</t>
  </si>
  <si>
    <t>Bend, brannslokking inertgass</t>
  </si>
  <si>
    <t>Ventil, inertgass</t>
  </si>
  <si>
    <t>Isolasjon, manuell brannslokking</t>
  </si>
  <si>
    <t>Armatur, gass bygningsdrift</t>
  </si>
  <si>
    <t xml:space="preserve">Bend, gassinstallasjon </t>
  </si>
  <si>
    <t>Isolasjon, gassinstallasjon bygningsdrift</t>
  </si>
  <si>
    <t>Kryss, gassinstallasjon</t>
  </si>
  <si>
    <t>Skap, nødavstengning</t>
  </si>
  <si>
    <t>T-kryss, gassinstallasjon</t>
  </si>
  <si>
    <t>Ventil, gass bygningsdrift</t>
  </si>
  <si>
    <t>Armatur, gass ferdig bygg</t>
  </si>
  <si>
    <t>Isolasjon, gassinstallasjon, virksomhet</t>
  </si>
  <si>
    <t>Rør, gassinstallasjon, virksomhet</t>
  </si>
  <si>
    <t>Kryss, gassinstallasjon, virksomhet</t>
  </si>
  <si>
    <t>T-kryss, gassinstallasjon, virksomhet</t>
  </si>
  <si>
    <t>Bend, gassinstallasjon, virksomhet</t>
  </si>
  <si>
    <t>Armatur, trykkluft</t>
  </si>
  <si>
    <t>Isolasjon, trykkluft</t>
  </si>
  <si>
    <t>Rør, trykkluft, virksomhet ferdig bygg</t>
  </si>
  <si>
    <t>Kryss, trykkluft, virksomhet ferdig bygg</t>
  </si>
  <si>
    <t>T-kryss, trykkluft, virksomhet ferdig bygg</t>
  </si>
  <si>
    <t>Bend, trykkluft, virksomhet ferdig bygg</t>
  </si>
  <si>
    <t>Tank, medisinske gasser</t>
  </si>
  <si>
    <t>Ventil, trykkluft, virksomhet ferdig bygg</t>
  </si>
  <si>
    <t>Isolasjon, vakumsystem</t>
  </si>
  <si>
    <t>Rør, medisinsk trykkluft</t>
  </si>
  <si>
    <t>Kryss, medisinsk trykkluft</t>
  </si>
  <si>
    <t>T-kryss, medisinsk trykkluft</t>
  </si>
  <si>
    <t>Bend, medisinsk trykkluft</t>
  </si>
  <si>
    <t>Armatur, vakuumsystem</t>
  </si>
  <si>
    <t>Rør, vakuumsystem</t>
  </si>
  <si>
    <t>Kryss, vakuumsystem</t>
  </si>
  <si>
    <t>T-kryss, vakuumsystem</t>
  </si>
  <si>
    <t>Bend, vakuumsystem</t>
  </si>
  <si>
    <t>Ventil, vakuumsystem</t>
  </si>
  <si>
    <t>Aggregat, kjøl</t>
  </si>
  <si>
    <t>Armatur, kjøl</t>
  </si>
  <si>
    <t>Rør, kjøl</t>
  </si>
  <si>
    <t>Kryss, kjøl</t>
  </si>
  <si>
    <t>T-kryss, kjøl</t>
  </si>
  <si>
    <t>Bend, kjøl</t>
  </si>
  <si>
    <t>Ventil, kjøl</t>
  </si>
  <si>
    <t>Aggregat, frys</t>
  </si>
  <si>
    <t>Armatur, frys</t>
  </si>
  <si>
    <t>Rør, frys</t>
  </si>
  <si>
    <t>Kryss, frys</t>
  </si>
  <si>
    <t>T-kryss, frys</t>
  </si>
  <si>
    <t>Bend, frys</t>
  </si>
  <si>
    <t>Ventil, frys</t>
  </si>
  <si>
    <t>Aggregat, kjøl virksomhet</t>
  </si>
  <si>
    <t>Armatur, kjøl virksomhet</t>
  </si>
  <si>
    <t>Rør, kjøl virksomhet</t>
  </si>
  <si>
    <t>Kryss, kjøl virksomhet</t>
  </si>
  <si>
    <t>T-kryss, kjøl virksomhet</t>
  </si>
  <si>
    <t>Bend, kjøl virksomhet</t>
  </si>
  <si>
    <t>Ventil, kjøl virksomhet</t>
  </si>
  <si>
    <t>Isolasjon, frys</t>
  </si>
  <si>
    <t>Isolasjon, kjøl</t>
  </si>
  <si>
    <t>Isolasjon, kjøl virksomhet</t>
  </si>
  <si>
    <t>Bend, kanal i grunn</t>
  </si>
  <si>
    <t>Forbindelsesledd, kanalnett i grunn</t>
  </si>
  <si>
    <t>Kanal, fleksibel i grunn</t>
  </si>
  <si>
    <t>Kanal, stive i grunn</t>
  </si>
  <si>
    <t>Bend, kanal</t>
  </si>
  <si>
    <t>Forbindelsesledd, kanalnett</t>
  </si>
  <si>
    <t>Kanal, fleksibel</t>
  </si>
  <si>
    <t>Kanal, stive</t>
  </si>
  <si>
    <t>Spjeld, luft</t>
  </si>
  <si>
    <t>Fraluftsventil, kontrollventil</t>
  </si>
  <si>
    <t>Takhatt, med vifte for avfallsug</t>
  </si>
  <si>
    <t>Takhatt, heis</t>
  </si>
  <si>
    <t>Takhatt, inntak og avkast</t>
  </si>
  <si>
    <t>Tillluftsventiler, diffusor</t>
  </si>
  <si>
    <t>Tillluftsventiler, fortrengningsventil</t>
  </si>
  <si>
    <t>Tillluftsventiler, rist</t>
  </si>
  <si>
    <t>Tillluftsventiler, sjalusirist, lamellrist, dyser</t>
  </si>
  <si>
    <t>VAV spjeld, trykkstyrt</t>
  </si>
  <si>
    <t>VAV spjeld, pneumatisk</t>
  </si>
  <si>
    <t>Ettervarmebatteri, elektrisk</t>
  </si>
  <si>
    <t>Luftbehandlingsaggregat, bolig</t>
  </si>
  <si>
    <t>Varmegjenvinner, luft til luft kryss</t>
  </si>
  <si>
    <t>Varmegjenvinner, luft til luft roterende</t>
  </si>
  <si>
    <t>Varmegjenvinner, luft til luft batteri</t>
  </si>
  <si>
    <t>Varmeveksler, vann til vann plate</t>
  </si>
  <si>
    <t>Varmeveksler, vann til vann rør</t>
  </si>
  <si>
    <t>Vifter, tilluft</t>
  </si>
  <si>
    <t>Isolasjon, brann</t>
  </si>
  <si>
    <t>Isolasjon, termisk</t>
  </si>
  <si>
    <t>Bend, bunnledning komfortkjøling</t>
  </si>
  <si>
    <t>Forbindelsesledd, bunnledning komfortkjøling</t>
  </si>
  <si>
    <t>Kryss, bunnledning komfortkjøling</t>
  </si>
  <si>
    <t>Rør, bunnledning komfortkjøling</t>
  </si>
  <si>
    <t>T-kryss, bunnledning komfortkjøling</t>
  </si>
  <si>
    <t>Bend, komfortkjøling</t>
  </si>
  <si>
    <t>Forbindelsesledd, komfortkjøling</t>
  </si>
  <si>
    <t>Kryss, komfortkjøling</t>
  </si>
  <si>
    <t>Rør, komfortkjøling</t>
  </si>
  <si>
    <t>T-kryss, komfortkjøling</t>
  </si>
  <si>
    <t>Armaturer, komfortkjøling</t>
  </si>
  <si>
    <t>Ventil, komfortkjøling</t>
  </si>
  <si>
    <t>Spjeld, komfortkjøling</t>
  </si>
  <si>
    <t>Kuldemaskin, kjølelegemer,</t>
  </si>
  <si>
    <t>Sirkulasjonspumpe, komfortkjøling</t>
  </si>
  <si>
    <t>Isolasjon, komforkjøling</t>
  </si>
  <si>
    <t>Armatur, rensing forbruksvann</t>
  </si>
  <si>
    <t>Bend, rensing forbruksvann</t>
  </si>
  <si>
    <t>Forbindelsesledd, rensing forbruksvann</t>
  </si>
  <si>
    <t>Kryss, rensing forbruksvann</t>
  </si>
  <si>
    <t>Rør, rensing forbruksvann</t>
  </si>
  <si>
    <t>T-kryss, rensing forbruksvann</t>
  </si>
  <si>
    <t>Armatur, rensing avløpsvann</t>
  </si>
  <si>
    <t>Bend, rensing avløpsvann</t>
  </si>
  <si>
    <t>Forbindelsesledd, rensing avløpsvann</t>
  </si>
  <si>
    <t>Kryss, rensing avløpsvann</t>
  </si>
  <si>
    <t>Rør, rensing avløpsvann</t>
  </si>
  <si>
    <t>T-kryss, rensing avløpsvann</t>
  </si>
  <si>
    <t>Armatur, rensing svømmebasseng</t>
  </si>
  <si>
    <t>Bend, rensing svømmebasseng</t>
  </si>
  <si>
    <t xml:space="preserve">Forbindelsesledd, rensing svømmebasseng </t>
  </si>
  <si>
    <t>Kryss, rensing svømmebasseng</t>
  </si>
  <si>
    <t>Rør, rensing svømmebasseng</t>
  </si>
  <si>
    <t>T-kryss, rensing svømmebasseng</t>
  </si>
  <si>
    <t xml:space="preserve">Vanrenseanlegg, RO vann </t>
  </si>
  <si>
    <t>Rør, elkraft</t>
  </si>
  <si>
    <t>Bend, kabelføring</t>
  </si>
  <si>
    <t>Kryss, kabelføring</t>
  </si>
  <si>
    <t>T-kryss, kabelføring</t>
  </si>
  <si>
    <t>Overgang, kabelføring</t>
  </si>
  <si>
    <t>Gulvboks, innstøpt</t>
  </si>
  <si>
    <t>Gulvkanal, innstøpt</t>
  </si>
  <si>
    <t>Kanal, elkraft</t>
  </si>
  <si>
    <t>Kanal, innfelt</t>
  </si>
  <si>
    <t>Kanal, på vegg</t>
  </si>
  <si>
    <t>Mast, med veggfeste</t>
  </si>
  <si>
    <t>Forbindelsesledd, jording</t>
  </si>
  <si>
    <t>Isolasjon, elkraft</t>
  </si>
  <si>
    <t>Bend, stigekabel</t>
  </si>
  <si>
    <t>Kryss, stigekabel</t>
  </si>
  <si>
    <t>T-kryss, stigekabel</t>
  </si>
  <si>
    <t>Overgang, stigekabel</t>
  </si>
  <si>
    <t>Hovedtavle, hovedfordeling</t>
  </si>
  <si>
    <t>Strømskinne, avbruddsfri</t>
  </si>
  <si>
    <t>Strømskinne, normalkraft</t>
  </si>
  <si>
    <t>Strømskinne, nødstrøm</t>
  </si>
  <si>
    <t>Avgangsboks, strømskinne</t>
  </si>
  <si>
    <t>Fordeling, el</t>
  </si>
  <si>
    <t>Alarmtablå, gass</t>
  </si>
  <si>
    <t>Kabling, el alminnelig forbruk</t>
  </si>
  <si>
    <t>Koblinger, alminnelig forbruk</t>
  </si>
  <si>
    <t>Underfordeling, normal</t>
  </si>
  <si>
    <t>Kabling, el driftsteknisk</t>
  </si>
  <si>
    <t>Koblinger, driftsteknisk</t>
  </si>
  <si>
    <t>Stikkontakt, driftsteknisk</t>
  </si>
  <si>
    <t xml:space="preserve">Underfordeling, bygningsdrift </t>
  </si>
  <si>
    <t>Kabling, el, virksomhet</t>
  </si>
  <si>
    <t>Koblinger, virksomhet</t>
  </si>
  <si>
    <t>Stikkontakt, virksomhet</t>
  </si>
  <si>
    <t>Underfordeling, produksjon</t>
  </si>
  <si>
    <t>Intercom, med boks</t>
  </si>
  <si>
    <t>Branndetektor, Ionisk</t>
  </si>
  <si>
    <t xml:space="preserve">Branndetektor, multikriterie </t>
  </si>
  <si>
    <t>Branndetektor, multikriterie - Flash</t>
  </si>
  <si>
    <t>Branndetektor, optisk</t>
  </si>
  <si>
    <t>Branndetektor, optisk - Aspirasjon</t>
  </si>
  <si>
    <t>Branndetektor, optisk - Flash</t>
  </si>
  <si>
    <t>Branndetektor, optisk over himling med paralellampe ved tak under himling</t>
  </si>
  <si>
    <t>Branndetektor, termisk - Flash</t>
  </si>
  <si>
    <t>Branndetektor, termisk - Klasse 1 (60gr)</t>
  </si>
  <si>
    <t>Branndetektor, termisk - Klasse 2</t>
  </si>
  <si>
    <t>Branndetektor, termisk - Klasse 3</t>
  </si>
  <si>
    <t>Branndetektor, i kanal</t>
  </si>
  <si>
    <t>Låskasse, med vrider</t>
  </si>
  <si>
    <t>Brannmelder, manuell</t>
  </si>
  <si>
    <t>Røyklukemotor, trykkluft</t>
  </si>
  <si>
    <t>Overfallsalarm, knapp</t>
  </si>
  <si>
    <t>Bryter, overfallsalarm</t>
  </si>
  <si>
    <t>Ferittantenne, for overfallsalarm</t>
  </si>
  <si>
    <t>Bryter, fotbetjent</t>
  </si>
  <si>
    <t>Bryter, albuebetjent</t>
  </si>
  <si>
    <t>Impulsbryter, for lukking av dør</t>
  </si>
  <si>
    <t>IR detektor, vegg</t>
  </si>
  <si>
    <t>Bryter, snor</t>
  </si>
  <si>
    <t>Magnetkontakt, innbruddsalarm</t>
  </si>
  <si>
    <t>IP-kamera, innendørs</t>
  </si>
  <si>
    <t>Kamera, utendørs</t>
  </si>
  <si>
    <t>Dørbryter, AV-anlegg</t>
  </si>
  <si>
    <t>Mottakerantenne, mikrofon</t>
  </si>
  <si>
    <t>Styrepanel, berøringsskjerm</t>
  </si>
  <si>
    <t>Styrepanel, integrert knappepanel</t>
  </si>
  <si>
    <t>Uttak, AV</t>
  </si>
  <si>
    <t>Temperaturføler, vegg</t>
  </si>
  <si>
    <t>Romføler, sone</t>
  </si>
  <si>
    <t>Strømningsmåler, vann</t>
  </si>
  <si>
    <t>Temperaturføler, vannbåren varme</t>
  </si>
  <si>
    <t>Temperaturføler, ventilasjonskanal</t>
  </si>
  <si>
    <t>Temperaturføler, utendørs SD-anlegg</t>
  </si>
  <si>
    <t>Bryter, 1-kanals</t>
  </si>
  <si>
    <t xml:space="preserve">Dagslysføler
</t>
  </si>
  <si>
    <t xml:space="preserve">KNX Dagslysføler
</t>
  </si>
  <si>
    <t>Kontroller, for solavskjerming</t>
  </si>
  <si>
    <t>Fasadevask, hengestillas</t>
  </si>
  <si>
    <t>Fasadevask, monorail m/ løpekatt</t>
  </si>
  <si>
    <t>Støttemur, terreng</t>
  </si>
  <si>
    <t>Vegg, Gabion</t>
  </si>
  <si>
    <t>Vegg, Murt</t>
  </si>
  <si>
    <t>Vegg, Plasstøpt</t>
  </si>
  <si>
    <t>Vegg, Prefab</t>
  </si>
  <si>
    <t>Vegg, Spunt</t>
  </si>
  <si>
    <t>Vegg, Stablet</t>
  </si>
  <si>
    <t>Dekke, utendørs</t>
  </si>
  <si>
    <t>Dekkekant, utendørs</t>
  </si>
  <si>
    <t>Renne, VA</t>
  </si>
  <si>
    <t>Rør, VA</t>
  </si>
  <si>
    <t>Rørkobling, VA</t>
  </si>
  <si>
    <t>Sluk, VA</t>
  </si>
  <si>
    <t>Vei</t>
  </si>
  <si>
    <t>Parkeringsareal, utvendig, LARK</t>
  </si>
  <si>
    <t>Lekeapparat, fast</t>
  </si>
  <si>
    <t>Sportsinventar, fast</t>
  </si>
  <si>
    <t>Parkeringsareal, innvendig, ARK</t>
  </si>
  <si>
    <t>Real life object name 
As in bSN Guide</t>
  </si>
  <si>
    <t>Real life object name
New - made by bSDD</t>
  </si>
  <si>
    <t>Pset_ActuatorTypeElectricActuator.ElectricActuatorType:MOTORDRIVE</t>
  </si>
  <si>
    <t>shower faucet, thermostate</t>
  </si>
  <si>
    <t>FLOORWASTE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</si>
</sst>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3">
    <font>
      <sz val="10"/>
      <color rgb="FF000000"/>
      <name val="Arial"/>
    </font>
    <font>
      <sz val="11"/>
      <color rgb="FF333333"/>
      <name val="Arial"/>
    </font>
    <font>
      <b/>
      <sz val="14"/>
      <color rgb="FFFFFFFF"/>
      <name val="Arial"/>
    </font>
    <font>
      <sz val="8"/>
      <color rgb="FFFFFFFF"/>
      <name val="Arial"/>
    </font>
    <font>
      <sz val="11"/>
      <color rgb="FFFFFFFF"/>
      <name val="Arial"/>
    </font>
    <font>
      <sz val="9"/>
      <color rgb="FFFFFFFF"/>
      <name val="Arial"/>
    </font>
    <font>
      <b/>
      <sz val="14"/>
      <name val="Helvetica Neue"/>
    </font>
    <font>
      <b/>
      <sz val="11"/>
      <color rgb="FFFFFFFF"/>
      <name val="Arial"/>
    </font>
    <font>
      <sz val="10"/>
      <color rgb="FFFFFFFF"/>
      <name val="Arial"/>
    </font>
    <font>
      <b/>
      <sz val="14"/>
      <name val="Calibri"/>
    </font>
    <font>
      <b/>
      <sz val="9"/>
      <color rgb="FF000000"/>
      <name val="Helvetica Neue"/>
    </font>
    <font>
      <sz val="12"/>
      <color rgb="FF000000"/>
      <name val="Calibri"/>
    </font>
    <font>
      <b/>
      <sz val="11"/>
      <color rgb="FF000000"/>
      <name val="Helvetica Neue"/>
    </font>
    <font>
      <sz val="10"/>
      <name val="Arial"/>
    </font>
    <font>
      <b/>
      <sz val="10"/>
      <name val="Arial"/>
    </font>
    <font>
      <sz val="8"/>
      <color rgb="FF000000"/>
      <name val="Helvetica Neue"/>
    </font>
    <font>
      <sz val="9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sz val="12"/>
      <color rgb="FF000000"/>
      <name val="Helvetica Neue"/>
    </font>
    <font>
      <sz val="8"/>
      <name val="Helvetica Neue"/>
    </font>
    <font>
      <sz val="9"/>
      <name val="Helvetica Neue"/>
    </font>
    <font>
      <sz val="12"/>
      <color rgb="FF000000"/>
      <name val="Arial"/>
    </font>
    <font>
      <b/>
      <sz val="11"/>
      <name val="Helvetica Neue"/>
    </font>
    <font>
      <u/>
      <sz val="10"/>
      <color rgb="FF0000FF"/>
      <name val="Arial"/>
    </font>
    <font>
      <sz val="8"/>
      <color rgb="FF000000"/>
      <name val="Arial"/>
    </font>
    <font>
      <sz val="9"/>
      <color rgb="FF000000"/>
      <name val="Arial"/>
    </font>
    <font>
      <b/>
      <sz val="11"/>
      <color rgb="FF000000"/>
      <name val="Arial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9"/>
      <color rgb="FF0000FF"/>
      <name val="Helvetica Neue"/>
    </font>
    <font>
      <b/>
      <sz val="9"/>
      <color rgb="FF0000FF"/>
      <name val="Helvetica Neue"/>
    </font>
    <font>
      <b/>
      <sz val="11"/>
      <name val="Arial"/>
    </font>
    <font>
      <sz val="11"/>
      <color rgb="FF000000"/>
      <name val="Arial"/>
    </font>
    <font>
      <sz val="9"/>
      <color rgb="FF000000"/>
      <name val="Calibri"/>
    </font>
    <font>
      <sz val="8"/>
      <color rgb="FF000000"/>
      <name val="Calibri"/>
    </font>
    <font>
      <sz val="8"/>
      <name val="Arial"/>
    </font>
    <font>
      <u/>
      <sz val="9"/>
      <color rgb="FF0000FF"/>
      <name val="Helvetica Neue"/>
    </font>
    <font>
      <sz val="11"/>
      <name val="Helvetica Neue"/>
    </font>
    <font>
      <u/>
      <sz val="9"/>
      <color rgb="FF000000"/>
      <name val="Helvetica Neue"/>
    </font>
    <font>
      <u/>
      <sz val="9"/>
      <color rgb="FF000000"/>
      <name val="Helvetica Neue"/>
    </font>
    <font>
      <u/>
      <sz val="9"/>
      <color rgb="FF000000"/>
      <name val="Helvetica Neue"/>
    </font>
    <font>
      <b/>
      <sz val="12"/>
      <color rgb="FF0000FF"/>
      <name val="Helvetica Neue"/>
    </font>
    <font>
      <sz val="10"/>
      <name val="Helvetica Neue"/>
    </font>
    <font>
      <sz val="12"/>
      <color rgb="FF222222"/>
      <name val="Helvetica Neue"/>
    </font>
    <font>
      <sz val="10"/>
      <name val="Arial"/>
    </font>
    <font>
      <sz val="12"/>
      <color rgb="FF606060"/>
      <name val="Helvetica Neue"/>
    </font>
    <font>
      <b/>
      <sz val="12"/>
      <color rgb="FF000000"/>
      <name val="Helvetica Neue"/>
    </font>
    <font>
      <b/>
      <sz val="8"/>
      <color rgb="FF000000"/>
      <name val="Helvetica Neue"/>
    </font>
    <font>
      <sz val="11"/>
      <color rgb="FF000000"/>
      <name val="Arial Narrow"/>
    </font>
    <font>
      <sz val="8"/>
      <color rgb="FFFF0000"/>
      <name val="Helvetica Neue"/>
    </font>
    <font>
      <u/>
      <sz val="9"/>
      <color rgb="FF000000"/>
      <name val="Helvetica Neue"/>
    </font>
    <font>
      <u/>
      <sz val="9"/>
      <color rgb="FF000000"/>
      <name val="Helvetica Neue"/>
    </font>
    <font>
      <sz val="10"/>
      <color rgb="FF212121"/>
      <name val="Arial"/>
    </font>
    <font>
      <u/>
      <sz val="10"/>
      <color rgb="FF000000"/>
      <name val="Helvetica Neue"/>
    </font>
    <font>
      <u/>
      <sz val="10"/>
      <color rgb="FF0000FF"/>
      <name val="Helvetica Neue"/>
    </font>
    <font>
      <sz val="9"/>
      <name val="Arial"/>
    </font>
    <font>
      <u/>
      <sz val="10"/>
      <color theme="11"/>
      <name val="Arial"/>
    </font>
    <font>
      <sz val="10"/>
      <color indexed="8"/>
      <name val="Arial"/>
      <family val="2"/>
    </font>
    <font>
      <b/>
      <sz val="14"/>
      <name val="Helvetica"/>
    </font>
    <font>
      <b/>
      <sz val="11"/>
      <color indexed="8"/>
      <name val="Helvetica"/>
    </font>
    <font>
      <b/>
      <sz val="11"/>
      <name val="Helvetica"/>
    </font>
    <font>
      <sz val="11"/>
      <color indexed="8"/>
      <name val="Helvetica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DDD9C3"/>
        <bgColor rgb="FFDDD9C3"/>
      </patternFill>
    </fill>
    <fill>
      <patternFill patternType="solid">
        <fgColor rgb="FF8AE62E"/>
        <bgColor rgb="FF8AE62E"/>
      </patternFill>
    </fill>
    <fill>
      <patternFill patternType="solid">
        <fgColor rgb="FFFF5050"/>
        <bgColor rgb="FFFF5050"/>
      </patternFill>
    </fill>
    <fill>
      <patternFill patternType="solid">
        <fgColor rgb="FFFFE599"/>
        <bgColor rgb="FFFFE599"/>
      </patternFill>
    </fill>
    <fill>
      <patternFill patternType="solid">
        <fgColor rgb="FF99FF00"/>
        <bgColor rgb="FF99FF00"/>
      </patternFill>
    </fill>
    <fill>
      <patternFill patternType="solid">
        <fgColor rgb="FFFFFF00"/>
        <bgColor rgb="FFFFFF00"/>
      </patternFill>
    </fill>
    <fill>
      <patternFill patternType="solid">
        <fgColor rgb="FFB9FFB9"/>
        <bgColor rgb="FFB9FFB9"/>
      </patternFill>
    </fill>
    <fill>
      <patternFill patternType="solid">
        <fgColor rgb="FFFFFFA7"/>
        <bgColor rgb="FFFFFFA7"/>
      </patternFill>
    </fill>
    <fill>
      <patternFill patternType="solid">
        <fgColor theme="0"/>
        <bgColor indexed="63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257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3" borderId="0" xfId="0" applyFont="1" applyFill="1" applyBorder="1"/>
    <xf numFmtId="0" fontId="3" fillId="3" borderId="0" xfId="0" applyFont="1" applyFill="1" applyBorder="1" applyAlignment="1">
      <alignment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wrapText="1"/>
    </xf>
    <xf numFmtId="0" fontId="5" fillId="3" borderId="0" xfId="0" applyFont="1" applyFill="1" applyBorder="1"/>
    <xf numFmtId="0" fontId="6" fillId="2" borderId="0" xfId="0" applyFont="1" applyFill="1" applyBorder="1" applyAlignment="1">
      <alignment vertical="top"/>
    </xf>
    <xf numFmtId="0" fontId="6" fillId="4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wrapText="1"/>
    </xf>
    <xf numFmtId="0" fontId="9" fillId="2" borderId="0" xfId="0" applyFont="1" applyFill="1" applyBorder="1"/>
    <xf numFmtId="0" fontId="8" fillId="3" borderId="0" xfId="0" applyFont="1" applyFill="1" applyBorder="1"/>
    <xf numFmtId="0" fontId="10" fillId="5" borderId="0" xfId="0" applyFont="1" applyFill="1" applyBorder="1" applyAlignment="1">
      <alignment vertical="top" wrapText="1"/>
    </xf>
    <xf numFmtId="0" fontId="11" fillId="0" borderId="0" xfId="0" applyFont="1"/>
    <xf numFmtId="0" fontId="10" fillId="5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2" fillId="6" borderId="0" xfId="0" applyFont="1" applyFill="1" applyBorder="1" applyAlignment="1">
      <alignment horizontal="left" vertical="top" wrapText="1"/>
    </xf>
    <xf numFmtId="0" fontId="10" fillId="6" borderId="0" xfId="0" applyFont="1" applyFill="1" applyBorder="1" applyAlignment="1">
      <alignment horizontal="left" vertical="top" wrapText="1"/>
    </xf>
    <xf numFmtId="0" fontId="13" fillId="0" borderId="0" xfId="0" applyFont="1" applyAlignment="1"/>
    <xf numFmtId="0" fontId="10" fillId="7" borderId="0" xfId="0" applyFont="1" applyFill="1" applyBorder="1" applyAlignment="1">
      <alignment horizontal="left" vertical="top" wrapText="1"/>
    </xf>
    <xf numFmtId="0" fontId="10" fillId="8" borderId="0" xfId="0" applyFont="1" applyFill="1" applyBorder="1" applyAlignment="1">
      <alignment horizontal="left" vertical="top" wrapText="1"/>
    </xf>
    <xf numFmtId="0" fontId="10" fillId="8" borderId="0" xfId="0" applyFont="1" applyFill="1" applyBorder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0" fillId="9" borderId="0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" fontId="16" fillId="0" borderId="0" xfId="0" applyNumberFormat="1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3" fontId="17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3" fillId="0" borderId="0" xfId="0" applyFont="1"/>
    <xf numFmtId="3" fontId="20" fillId="0" borderId="0" xfId="0" applyNumberFormat="1" applyFont="1" applyAlignment="1">
      <alignment horizontal="left" vertical="top" wrapText="1"/>
    </xf>
    <xf numFmtId="0" fontId="14" fillId="0" borderId="0" xfId="0" applyFont="1" applyAlignment="1"/>
    <xf numFmtId="3" fontId="21" fillId="0" borderId="0" xfId="0" applyNumberFormat="1" applyFont="1" applyAlignment="1">
      <alignment horizontal="left" vertical="top" wrapText="1"/>
    </xf>
    <xf numFmtId="0" fontId="13" fillId="2" borderId="0" xfId="0" applyFont="1" applyFill="1" applyAlignment="1"/>
    <xf numFmtId="0" fontId="17" fillId="0" borderId="0" xfId="0" applyFont="1" applyAlignment="1">
      <alignment vertical="top" wrapText="1"/>
    </xf>
    <xf numFmtId="0" fontId="13" fillId="10" borderId="0" xfId="0" applyFont="1" applyFill="1" applyAlignment="1"/>
    <xf numFmtId="0" fontId="13" fillId="0" borderId="0" xfId="0" applyFont="1" applyAlignment="1"/>
    <xf numFmtId="0" fontId="22" fillId="0" borderId="0" xfId="0" applyFont="1"/>
    <xf numFmtId="0" fontId="17" fillId="0" borderId="0" xfId="0" applyFont="1" applyAlignment="1">
      <alignment horizontal="left" vertical="top" wrapText="1"/>
    </xf>
    <xf numFmtId="0" fontId="13" fillId="11" borderId="0" xfId="0" applyFont="1" applyFill="1" applyAlignment="1"/>
    <xf numFmtId="3" fontId="23" fillId="0" borderId="0" xfId="0" applyNumberFormat="1" applyFont="1" applyAlignment="1">
      <alignment horizontal="left" vertical="top" wrapText="1"/>
    </xf>
    <xf numFmtId="0" fontId="13" fillId="12" borderId="0" xfId="0" applyFont="1" applyFill="1" applyAlignment="1"/>
    <xf numFmtId="3" fontId="20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3" fillId="0" borderId="0" xfId="0" applyFont="1" applyAlignment="1"/>
    <xf numFmtId="0" fontId="24" fillId="0" borderId="0" xfId="0" applyFont="1"/>
    <xf numFmtId="3" fontId="15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3" fontId="23" fillId="0" borderId="0" xfId="0" applyNumberFormat="1" applyFont="1" applyAlignment="1">
      <alignment horizontal="left" vertical="top" wrapText="1"/>
    </xf>
    <xf numFmtId="1" fontId="26" fillId="0" borderId="0" xfId="0" applyNumberFormat="1" applyFont="1" applyAlignment="1">
      <alignment horizontal="left" vertical="top" wrapText="1"/>
    </xf>
    <xf numFmtId="3" fontId="21" fillId="0" borderId="0" xfId="0" applyNumberFormat="1" applyFont="1" applyAlignment="1">
      <alignment horizontal="left" vertical="top" wrapText="1"/>
    </xf>
    <xf numFmtId="3" fontId="25" fillId="0" borderId="0" xfId="0" applyNumberFormat="1" applyFont="1" applyAlignment="1">
      <alignment vertical="top" wrapText="1"/>
    </xf>
    <xf numFmtId="0" fontId="27" fillId="0" borderId="0" xfId="0" applyFont="1" applyAlignment="1">
      <alignment vertical="top" wrapText="1"/>
    </xf>
    <xf numFmtId="3" fontId="17" fillId="0" borderId="0" xfId="0" applyNumberFormat="1" applyFont="1" applyAlignment="1">
      <alignment horizontal="left" vertical="top" wrapText="1"/>
    </xf>
    <xf numFmtId="3" fontId="26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4" fillId="2" borderId="0" xfId="0" applyFont="1" applyFill="1" applyAlignment="1"/>
    <xf numFmtId="0" fontId="13" fillId="2" borderId="0" xfId="0" applyFont="1" applyFill="1"/>
    <xf numFmtId="0" fontId="17" fillId="0" borderId="0" xfId="0" applyFont="1" applyAlignment="1">
      <alignment horizontal="left" vertical="top" wrapText="1"/>
    </xf>
    <xf numFmtId="14" fontId="16" fillId="0" borderId="0" xfId="0" applyNumberFormat="1" applyFont="1" applyAlignment="1">
      <alignment horizontal="left" vertical="top" wrapText="1"/>
    </xf>
    <xf numFmtId="0" fontId="13" fillId="2" borderId="0" xfId="0" applyFont="1" applyFill="1"/>
    <xf numFmtId="0" fontId="31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vertical="top" wrapText="1"/>
    </xf>
    <xf numFmtId="3" fontId="32" fillId="0" borderId="0" xfId="0" applyNumberFormat="1" applyFont="1" applyAlignment="1">
      <alignment vertical="top" wrapText="1"/>
    </xf>
    <xf numFmtId="3" fontId="26" fillId="0" borderId="0" xfId="0" applyNumberFormat="1" applyFont="1" applyAlignment="1">
      <alignment vertical="top" wrapText="1"/>
    </xf>
    <xf numFmtId="0" fontId="33" fillId="0" borderId="0" xfId="0" applyFont="1" applyAlignment="1">
      <alignment vertical="top"/>
    </xf>
    <xf numFmtId="3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0" fillId="0" borderId="0" xfId="0" applyFont="1"/>
    <xf numFmtId="0" fontId="26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 wrapText="1"/>
    </xf>
    <xf numFmtId="3" fontId="36" fillId="0" borderId="0" xfId="0" applyNumberFormat="1" applyFont="1" applyAlignment="1">
      <alignment vertical="top" wrapText="1"/>
    </xf>
    <xf numFmtId="0" fontId="33" fillId="0" borderId="0" xfId="0" applyFont="1"/>
    <xf numFmtId="0" fontId="16" fillId="0" borderId="0" xfId="0" applyFont="1" applyAlignment="1">
      <alignment horizontal="left" vertical="top" wrapText="1"/>
    </xf>
    <xf numFmtId="14" fontId="15" fillId="0" borderId="0" xfId="0" applyNumberFormat="1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14" fontId="12" fillId="0" borderId="0" xfId="0" applyNumberFormat="1" applyFont="1" applyAlignment="1">
      <alignment horizontal="left" vertical="top" wrapText="1"/>
    </xf>
    <xf numFmtId="3" fontId="38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horizontal="left" vertical="top" wrapText="1"/>
    </xf>
    <xf numFmtId="164" fontId="17" fillId="0" borderId="0" xfId="0" applyNumberFormat="1" applyFont="1" applyAlignment="1">
      <alignment vertical="top" wrapText="1"/>
    </xf>
    <xf numFmtId="0" fontId="42" fillId="0" borderId="0" xfId="0" applyFont="1" applyAlignment="1">
      <alignment vertical="top" wrapText="1"/>
    </xf>
    <xf numFmtId="3" fontId="43" fillId="0" borderId="0" xfId="0" applyNumberFormat="1" applyFont="1" applyAlignment="1">
      <alignment horizontal="left" vertical="top" wrapText="1"/>
    </xf>
    <xf numFmtId="3" fontId="21" fillId="2" borderId="0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44" fillId="0" borderId="0" xfId="0" applyFont="1" applyAlignment="1">
      <alignment vertical="top" wrapText="1"/>
    </xf>
    <xf numFmtId="0" fontId="45" fillId="0" borderId="0" xfId="0" applyFont="1"/>
    <xf numFmtId="0" fontId="45" fillId="0" borderId="0" xfId="0" applyFont="1"/>
    <xf numFmtId="0" fontId="43" fillId="0" borderId="0" xfId="0" applyFont="1" applyAlignment="1">
      <alignment horizontal="left" vertical="top" wrapText="1"/>
    </xf>
    <xf numFmtId="3" fontId="23" fillId="14" borderId="0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 wrapText="1"/>
    </xf>
    <xf numFmtId="0" fontId="48" fillId="0" borderId="0" xfId="0" applyFont="1" applyAlignment="1">
      <alignment horizontal="left" vertical="top" wrapText="1"/>
    </xf>
    <xf numFmtId="0" fontId="49" fillId="0" borderId="0" xfId="0" applyFont="1" applyAlignment="1">
      <alignment vertical="top"/>
    </xf>
    <xf numFmtId="3" fontId="21" fillId="0" borderId="0" xfId="0" applyNumberFormat="1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164" fontId="15" fillId="0" borderId="0" xfId="0" applyNumberFormat="1" applyFont="1" applyAlignment="1">
      <alignment horizontal="left" vertical="top" wrapText="1"/>
    </xf>
    <xf numFmtId="3" fontId="50" fillId="0" borderId="0" xfId="0" applyNumberFormat="1" applyFont="1" applyAlignment="1">
      <alignment horizontal="left" vertical="top" wrapText="1"/>
    </xf>
    <xf numFmtId="0" fontId="50" fillId="0" borderId="0" xfId="0" applyFont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14" fontId="12" fillId="14" borderId="0" xfId="0" applyNumberFormat="1" applyFont="1" applyFill="1" applyBorder="1" applyAlignment="1">
      <alignment horizontal="left" vertical="top" wrapText="1"/>
    </xf>
    <xf numFmtId="0" fontId="17" fillId="15" borderId="0" xfId="0" applyFont="1" applyFill="1" applyBorder="1" applyAlignment="1">
      <alignment horizontal="left" vertical="top" wrapText="1"/>
    </xf>
    <xf numFmtId="0" fontId="17" fillId="16" borderId="0" xfId="0" applyFont="1" applyFill="1" applyBorder="1" applyAlignment="1">
      <alignment horizontal="left" vertical="top" wrapText="1"/>
    </xf>
    <xf numFmtId="3" fontId="16" fillId="2" borderId="0" xfId="0" applyNumberFormat="1" applyFont="1" applyFill="1" applyBorder="1" applyAlignment="1">
      <alignment horizontal="left" vertical="top" wrapText="1"/>
    </xf>
    <xf numFmtId="3" fontId="61" fillId="0" borderId="0" xfId="5" applyNumberFormat="1" applyFont="1" applyFill="1" applyBorder="1" applyAlignment="1">
      <alignment horizontal="left" vertical="top" wrapText="1"/>
    </xf>
    <xf numFmtId="14" fontId="60" fillId="0" borderId="0" xfId="5" applyNumberFormat="1" applyFont="1" applyFill="1" applyBorder="1" applyAlignment="1">
      <alignment horizontal="left" vertical="top" wrapText="1"/>
    </xf>
    <xf numFmtId="3" fontId="60" fillId="0" borderId="0" xfId="5" applyNumberFormat="1" applyFont="1" applyFill="1" applyBorder="1" applyAlignment="1">
      <alignment horizontal="left" vertical="top" wrapText="1"/>
    </xf>
    <xf numFmtId="0" fontId="60" fillId="0" borderId="0" xfId="5" applyNumberFormat="1" applyFont="1" applyFill="1" applyBorder="1" applyAlignment="1">
      <alignment horizontal="left" vertical="top" wrapText="1"/>
    </xf>
    <xf numFmtId="0" fontId="60" fillId="0" borderId="0" xfId="5" applyFont="1" applyFill="1" applyBorder="1" applyAlignment="1">
      <alignment horizontal="left" vertical="top" wrapText="1"/>
    </xf>
    <xf numFmtId="0" fontId="61" fillId="0" borderId="0" xfId="5" applyFont="1" applyFill="1" applyBorder="1" applyAlignment="1">
      <alignment horizontal="left" vertical="top" wrapText="1"/>
    </xf>
    <xf numFmtId="3" fontId="61" fillId="18" borderId="0" xfId="5" applyNumberFormat="1" applyFont="1" applyFill="1" applyBorder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0" fontId="0" fillId="0" borderId="0" xfId="0" applyFont="1" applyAlignment="1"/>
    <xf numFmtId="3" fontId="21" fillId="0" borderId="0" xfId="0" applyNumberFormat="1" applyFont="1" applyAlignment="1">
      <alignment horizontal="left" vertical="top" wrapText="1"/>
    </xf>
    <xf numFmtId="3" fontId="20" fillId="0" borderId="0" xfId="0" applyNumberFormat="1" applyFont="1" applyAlignment="1">
      <alignment horizontal="left" vertical="top" wrapText="1"/>
    </xf>
    <xf numFmtId="14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3" fontId="23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14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1" fillId="0" borderId="0" xfId="0" applyFont="1"/>
    <xf numFmtId="3" fontId="17" fillId="0" borderId="0" xfId="0" applyNumberFormat="1" applyFont="1" applyAlignment="1">
      <alignment horizontal="left" vertical="top"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/>
    <xf numFmtId="0" fontId="9" fillId="2" borderId="3" xfId="0" applyFont="1" applyFill="1" applyBorder="1"/>
    <xf numFmtId="0" fontId="11" fillId="0" borderId="3" xfId="0" applyFont="1" applyBorder="1" applyAlignment="1">
      <alignment vertical="top"/>
    </xf>
    <xf numFmtId="0" fontId="60" fillId="0" borderId="3" xfId="5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3" xfId="0" applyFont="1" applyBorder="1"/>
    <xf numFmtId="0" fontId="22" fillId="0" borderId="3" xfId="0" applyFont="1" applyBorder="1"/>
    <xf numFmtId="0" fontId="0" fillId="4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 vertical="top"/>
    </xf>
    <xf numFmtId="0" fontId="26" fillId="0" borderId="3" xfId="0" applyFont="1" applyBorder="1" applyAlignment="1">
      <alignment horizontal="left" vertical="top"/>
    </xf>
    <xf numFmtId="0" fontId="34" fillId="0" borderId="3" xfId="0" applyFont="1" applyBorder="1" applyAlignment="1">
      <alignment horizontal="left" vertical="top"/>
    </xf>
    <xf numFmtId="3" fontId="26" fillId="0" borderId="3" xfId="0" applyNumberFormat="1" applyFont="1" applyBorder="1" applyAlignment="1">
      <alignment horizontal="left" vertical="top" wrapText="1"/>
    </xf>
    <xf numFmtId="3" fontId="36" fillId="0" borderId="3" xfId="0" applyNumberFormat="1" applyFont="1" applyBorder="1" applyAlignment="1">
      <alignment horizontal="left" vertical="top" wrapText="1"/>
    </xf>
    <xf numFmtId="3" fontId="56" fillId="0" borderId="3" xfId="0" applyNumberFormat="1" applyFont="1" applyBorder="1" applyAlignment="1">
      <alignment horizontal="left" vertical="top" wrapText="1"/>
    </xf>
    <xf numFmtId="0" fontId="26" fillId="0" borderId="3" xfId="0" applyFont="1" applyBorder="1" applyAlignment="1">
      <alignment horizontal="left"/>
    </xf>
    <xf numFmtId="0" fontId="26" fillId="0" borderId="3" xfId="0" applyFont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wrapText="1"/>
    </xf>
    <xf numFmtId="0" fontId="22" fillId="0" borderId="3" xfId="0" applyFont="1" applyBorder="1" applyAlignment="1">
      <alignment horizontal="left"/>
    </xf>
    <xf numFmtId="0" fontId="62" fillId="0" borderId="3" xfId="5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0" fillId="0" borderId="3" xfId="0" applyFont="1" applyBorder="1"/>
    <xf numFmtId="0" fontId="9" fillId="2" borderId="4" xfId="0" applyFont="1" applyFill="1" applyBorder="1"/>
    <xf numFmtId="0" fontId="11" fillId="0" borderId="4" xfId="0" applyFont="1" applyBorder="1" applyAlignment="1">
      <alignment vertical="top"/>
    </xf>
    <xf numFmtId="0" fontId="11" fillId="0" borderId="4" xfId="0" applyFont="1" applyBorder="1"/>
    <xf numFmtId="0" fontId="22" fillId="0" borderId="4" xfId="0" applyFont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 wrapText="1"/>
    </xf>
    <xf numFmtId="0" fontId="0" fillId="4" borderId="5" xfId="0" applyFont="1" applyFill="1" applyBorder="1" applyAlignment="1">
      <alignment horizontal="left"/>
    </xf>
    <xf numFmtId="0" fontId="60" fillId="0" borderId="5" xfId="5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/>
    </xf>
    <xf numFmtId="0" fontId="33" fillId="0" borderId="5" xfId="0" applyFont="1" applyBorder="1" applyAlignment="1">
      <alignment horizontal="left" vertical="top"/>
    </xf>
    <xf numFmtId="0" fontId="26" fillId="0" borderId="5" xfId="0" applyFont="1" applyBorder="1" applyAlignment="1">
      <alignment horizontal="left" vertical="top"/>
    </xf>
    <xf numFmtId="0" fontId="34" fillId="0" borderId="5" xfId="0" applyFont="1" applyBorder="1" applyAlignment="1">
      <alignment horizontal="left" vertical="top"/>
    </xf>
    <xf numFmtId="0" fontId="35" fillId="0" borderId="5" xfId="0" applyFont="1" applyBorder="1" applyAlignment="1">
      <alignment horizontal="left" vertical="top" wrapText="1"/>
    </xf>
    <xf numFmtId="3" fontId="26" fillId="0" borderId="5" xfId="0" applyNumberFormat="1" applyFont="1" applyBorder="1" applyAlignment="1">
      <alignment horizontal="left" vertical="top" wrapText="1"/>
    </xf>
    <xf numFmtId="3" fontId="36" fillId="0" borderId="5" xfId="0" applyNumberFormat="1" applyFont="1" applyBorder="1" applyAlignment="1">
      <alignment horizontal="left" vertical="top" wrapText="1"/>
    </xf>
    <xf numFmtId="3" fontId="56" fillId="0" borderId="5" xfId="0" applyNumberFormat="1" applyFont="1" applyBorder="1" applyAlignment="1">
      <alignment horizontal="left" vertical="top" wrapText="1"/>
    </xf>
    <xf numFmtId="0" fontId="59" fillId="17" borderId="0" xfId="5" applyFont="1" applyFill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3" fontId="16" fillId="0" borderId="0" xfId="0" applyNumberFormat="1" applyFont="1" applyBorder="1" applyAlignment="1">
      <alignment horizontal="left" vertical="top" wrapText="1"/>
    </xf>
    <xf numFmtId="3" fontId="15" fillId="0" borderId="0" xfId="0" applyNumberFormat="1" applyFont="1" applyBorder="1" applyAlignment="1">
      <alignment horizontal="left" vertical="top" wrapText="1"/>
    </xf>
    <xf numFmtId="3" fontId="28" fillId="13" borderId="0" xfId="0" applyNumberFormat="1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3" fontId="17" fillId="0" borderId="0" xfId="0" applyNumberFormat="1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3" fontId="21" fillId="0" borderId="0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1" fillId="0" borderId="0" xfId="0" applyFont="1" applyBorder="1"/>
    <xf numFmtId="0" fontId="16" fillId="0" borderId="0" xfId="0" applyFont="1" applyBorder="1" applyAlignment="1">
      <alignment horizontal="left" vertical="top" wrapText="1"/>
    </xf>
    <xf numFmtId="3" fontId="29" fillId="13" borderId="0" xfId="0" applyNumberFormat="1" applyFont="1" applyFill="1" applyBorder="1" applyAlignment="1">
      <alignment horizontal="left" vertical="top" wrapText="1"/>
    </xf>
    <xf numFmtId="3" fontId="30" fillId="13" borderId="0" xfId="0" applyNumberFormat="1" applyFont="1" applyFill="1" applyBorder="1" applyAlignment="1">
      <alignment horizontal="left" vertical="top" wrapText="1"/>
    </xf>
    <xf numFmtId="3" fontId="20" fillId="0" borderId="0" xfId="0" applyNumberFormat="1" applyFont="1" applyBorder="1" applyAlignment="1">
      <alignment horizontal="left" vertical="top" wrapText="1"/>
    </xf>
    <xf numFmtId="14" fontId="16" fillId="0" borderId="0" xfId="0" applyNumberFormat="1" applyFont="1" applyBorder="1" applyAlignment="1">
      <alignment horizontal="left" vertical="top" wrapText="1"/>
    </xf>
    <xf numFmtId="3" fontId="37" fillId="13" borderId="0" xfId="0" applyNumberFormat="1" applyFont="1" applyFill="1" applyBorder="1" applyAlignment="1">
      <alignment horizontal="left" vertical="top" wrapText="1"/>
    </xf>
    <xf numFmtId="3" fontId="23" fillId="0" borderId="0" xfId="0" applyNumberFormat="1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left" vertical="top" wrapText="1"/>
    </xf>
    <xf numFmtId="3" fontId="39" fillId="13" borderId="0" xfId="0" applyNumberFormat="1" applyFont="1" applyFill="1" applyBorder="1" applyAlignment="1">
      <alignment horizontal="left" vertical="top" wrapText="1"/>
    </xf>
    <xf numFmtId="14" fontId="15" fillId="0" borderId="0" xfId="0" applyNumberFormat="1" applyFont="1" applyBorder="1" applyAlignment="1">
      <alignment horizontal="left" vertical="top" wrapText="1"/>
    </xf>
    <xf numFmtId="3" fontId="40" fillId="13" borderId="0" xfId="0" applyNumberFormat="1" applyFont="1" applyFill="1" applyBorder="1" applyAlignment="1">
      <alignment horizontal="left" vertical="top" wrapText="1"/>
    </xf>
    <xf numFmtId="14" fontId="41" fillId="13" borderId="0" xfId="0" applyNumberFormat="1" applyFont="1" applyFill="1" applyBorder="1" applyAlignment="1">
      <alignment horizontal="left" vertical="top" wrapText="1"/>
    </xf>
    <xf numFmtId="3" fontId="12" fillId="0" borderId="0" xfId="0" applyNumberFormat="1" applyFont="1" applyBorder="1" applyAlignment="1">
      <alignment horizontal="left" vertical="top" wrapText="1"/>
    </xf>
    <xf numFmtId="164" fontId="17" fillId="0" borderId="0" xfId="0" applyNumberFormat="1" applyFont="1" applyBorder="1" applyAlignment="1">
      <alignment vertical="top" wrapText="1"/>
    </xf>
    <xf numFmtId="3" fontId="17" fillId="0" borderId="0" xfId="0" applyNumberFormat="1" applyFont="1" applyBorder="1" applyAlignment="1">
      <alignment vertical="top" wrapText="1"/>
    </xf>
    <xf numFmtId="0" fontId="21" fillId="0" borderId="0" xfId="0" applyFont="1" applyBorder="1" applyAlignment="1">
      <alignment horizontal="left" vertical="top" wrapText="1"/>
    </xf>
    <xf numFmtId="14" fontId="16" fillId="0" borderId="0" xfId="0" applyNumberFormat="1" applyFont="1" applyBorder="1" applyAlignment="1">
      <alignment vertical="top" wrapText="1"/>
    </xf>
    <xf numFmtId="0" fontId="48" fillId="0" borderId="0" xfId="0" applyFont="1" applyBorder="1" applyAlignment="1">
      <alignment horizontal="left" vertical="top" wrapText="1"/>
    </xf>
    <xf numFmtId="0" fontId="51" fillId="13" borderId="0" xfId="0" applyFont="1" applyFill="1" applyBorder="1" applyAlignment="1">
      <alignment horizontal="left" vertical="top" wrapText="1"/>
    </xf>
    <xf numFmtId="3" fontId="21" fillId="0" borderId="0" xfId="0" applyNumberFormat="1" applyFont="1" applyBorder="1" applyAlignment="1">
      <alignment vertical="top" wrapText="1"/>
    </xf>
    <xf numFmtId="0" fontId="52" fillId="0" borderId="0" xfId="0" applyFont="1" applyBorder="1" applyAlignment="1">
      <alignment horizontal="left" vertical="top" wrapText="1"/>
    </xf>
    <xf numFmtId="0" fontId="60" fillId="18" borderId="0" xfId="5" applyFont="1" applyFill="1" applyBorder="1" applyAlignment="1">
      <alignment horizontal="left" vertical="top" wrapText="1"/>
    </xf>
    <xf numFmtId="0" fontId="19" fillId="0" borderId="0" xfId="0" applyFont="1" applyBorder="1" applyAlignment="1">
      <alignment vertical="top" wrapText="1"/>
    </xf>
    <xf numFmtId="3" fontId="43" fillId="0" borderId="0" xfId="0" applyNumberFormat="1" applyFont="1" applyBorder="1" applyAlignment="1">
      <alignment horizontal="left" vertical="top" wrapText="1"/>
    </xf>
    <xf numFmtId="0" fontId="44" fillId="0" borderId="0" xfId="0" applyFont="1" applyBorder="1" applyAlignment="1">
      <alignment vertical="top" wrapText="1"/>
    </xf>
    <xf numFmtId="0" fontId="14" fillId="0" borderId="0" xfId="0" applyFont="1" applyBorder="1" applyAlignment="1"/>
    <xf numFmtId="0" fontId="43" fillId="0" borderId="0" xfId="0" applyFont="1" applyBorder="1" applyAlignment="1">
      <alignment horizontal="left" vertical="top" wrapText="1"/>
    </xf>
    <xf numFmtId="3" fontId="54" fillId="13" borderId="0" xfId="0" applyNumberFormat="1" applyFont="1" applyFill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164" fontId="15" fillId="0" borderId="0" xfId="0" applyNumberFormat="1" applyFont="1" applyBorder="1" applyAlignment="1">
      <alignment horizontal="left" vertical="top" wrapText="1"/>
    </xf>
    <xf numFmtId="3" fontId="50" fillId="0" borderId="0" xfId="0" applyNumberFormat="1" applyFont="1" applyBorder="1" applyAlignment="1">
      <alignment horizontal="left" vertical="top" wrapText="1"/>
    </xf>
    <xf numFmtId="0" fontId="50" fillId="0" borderId="0" xfId="0" applyFont="1" applyBorder="1" applyAlignment="1">
      <alignment horizontal="left" vertical="top" wrapText="1"/>
    </xf>
    <xf numFmtId="0" fontId="55" fillId="0" borderId="0" xfId="0" applyFont="1" applyBorder="1" applyAlignment="1">
      <alignment vertical="top" wrapText="1"/>
    </xf>
    <xf numFmtId="1" fontId="16" fillId="0" borderId="0" xfId="0" applyNumberFormat="1" applyFont="1" applyBorder="1" applyAlignment="1">
      <alignment horizontal="left" vertical="top" wrapText="1"/>
    </xf>
    <xf numFmtId="3" fontId="38" fillId="0" borderId="0" xfId="0" applyNumberFormat="1" applyFont="1" applyBorder="1" applyAlignment="1">
      <alignment vertical="top" wrapText="1"/>
    </xf>
    <xf numFmtId="3" fontId="15" fillId="0" borderId="0" xfId="0" applyNumberFormat="1" applyFont="1" applyBorder="1" applyAlignment="1">
      <alignment vertical="top" wrapText="1"/>
    </xf>
    <xf numFmtId="0" fontId="42" fillId="0" borderId="0" xfId="0" applyFont="1" applyBorder="1" applyAlignment="1">
      <alignment vertical="top" wrapText="1"/>
    </xf>
    <xf numFmtId="0" fontId="46" fillId="0" borderId="0" xfId="0" applyFont="1" applyBorder="1" applyAlignment="1">
      <alignment vertical="top" wrapText="1"/>
    </xf>
    <xf numFmtId="0" fontId="4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3" fontId="17" fillId="0" borderId="0" xfId="0" applyNumberFormat="1" applyFont="1" applyFill="1" applyBorder="1" applyAlignment="1">
      <alignment horizontal="left" vertical="top" wrapText="1"/>
    </xf>
    <xf numFmtId="3" fontId="21" fillId="0" borderId="0" xfId="0" applyNumberFormat="1" applyFont="1" applyFill="1" applyBorder="1" applyAlignment="1">
      <alignment horizontal="left" vertical="top" wrapText="1"/>
    </xf>
    <xf numFmtId="3" fontId="16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53" fillId="0" borderId="0" xfId="0" applyFont="1" applyFill="1" applyBorder="1" applyAlignment="1"/>
    <xf numFmtId="0" fontId="17" fillId="0" borderId="0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/>
  </cellXfs>
  <cellStyles count="8">
    <cellStyle name="Benyttet hyperkobling" xfId="1" builtinId="9" hidden="1"/>
    <cellStyle name="Benyttet hyperkobling" xfId="2" builtinId="9" hidden="1"/>
    <cellStyle name="Benyttet hyperkobling" xfId="3" builtinId="9" hidden="1"/>
    <cellStyle name="Benyttet hyperkobling" xfId="4" builtinId="9" hidden="1"/>
    <cellStyle name="Benyttet hyperkobling" xfId="6" builtinId="9" hidden="1"/>
    <cellStyle name="Benyttet hyperkobling" xfId="7" builtinId="9" hidden="1"/>
    <cellStyle name="Excel Built-in Normal" xfId="5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504825</xdr:colOff>
      <xdr:row>281</xdr:row>
      <xdr:rowOff>276225</xdr:rowOff>
    </xdr:from>
    <xdr:to>
      <xdr:col>39</xdr:col>
      <xdr:colOff>190500</xdr:colOff>
      <xdr:row>284</xdr:row>
      <xdr:rowOff>161925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81025" cy="1676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1117600</xdr:colOff>
      <xdr:row>31</xdr:row>
      <xdr:rowOff>330200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1117600</xdr:colOff>
      <xdr:row>31</xdr:row>
      <xdr:rowOff>330200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89027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1117600</xdr:colOff>
      <xdr:row>31</xdr:row>
      <xdr:rowOff>330200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89027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1117600</xdr:colOff>
      <xdr:row>31</xdr:row>
      <xdr:rowOff>330200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98806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1117600</xdr:colOff>
      <xdr:row>31</xdr:row>
      <xdr:rowOff>330200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5603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480060</xdr:colOff>
      <xdr:row>31</xdr:row>
      <xdr:rowOff>289560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12557760" cy="1270254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480060</xdr:colOff>
      <xdr:row>31</xdr:row>
      <xdr:rowOff>289560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1255776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142</xdr:row>
      <xdr:rowOff>0</xdr:rowOff>
    </xdr:from>
    <xdr:to>
      <xdr:col>29</xdr:col>
      <xdr:colOff>733425</xdr:colOff>
      <xdr:row>150</xdr:row>
      <xdr:rowOff>152400</xdr:rowOff>
    </xdr:to>
    <xdr:pic>
      <xdr:nvPicPr>
        <xdr:cNvPr id="2" name="image01.png" descr="clip_image0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33425" cy="2438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43</xdr:row>
      <xdr:rowOff>114300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43</xdr:row>
      <xdr:rowOff>114300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43</xdr:row>
      <xdr:rowOff>114300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43</xdr:row>
      <xdr:rowOff>114300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43</xdr:row>
      <xdr:rowOff>114300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266700</xdr:colOff>
      <xdr:row>43</xdr:row>
      <xdr:rowOff>7620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266700</xdr:colOff>
      <xdr:row>43</xdr:row>
      <xdr:rowOff>7620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sdd.buildingsmart.org/" TargetMode="External"/><Relationship Id="rId671" Type="http://schemas.openxmlformats.org/officeDocument/2006/relationships/hyperlink" Target="http://bsdd.buildingsmart.org/" TargetMode="External"/><Relationship Id="rId769" Type="http://schemas.openxmlformats.org/officeDocument/2006/relationships/hyperlink" Target="http://bsdd.buildingsmart.org/" TargetMode="External"/><Relationship Id="rId21" Type="http://schemas.openxmlformats.org/officeDocument/2006/relationships/hyperlink" Target="http://bsdd.buildingsmart.org/" TargetMode="External"/><Relationship Id="rId324" Type="http://schemas.openxmlformats.org/officeDocument/2006/relationships/hyperlink" Target="http://bsdd.buildingsmart.org/" TargetMode="External"/><Relationship Id="rId531" Type="http://schemas.openxmlformats.org/officeDocument/2006/relationships/hyperlink" Target="http://bsdd.buildingsmart.org/" TargetMode="External"/><Relationship Id="rId629" Type="http://schemas.openxmlformats.org/officeDocument/2006/relationships/hyperlink" Target="http://bsdd.buildingsmart.org/" TargetMode="External"/><Relationship Id="rId170" Type="http://schemas.openxmlformats.org/officeDocument/2006/relationships/hyperlink" Target="http://bsdd.buildingsmart.org/" TargetMode="External"/><Relationship Id="rId268" Type="http://schemas.openxmlformats.org/officeDocument/2006/relationships/hyperlink" Target="http://bsdd.buildingsmart.org/" TargetMode="External"/><Relationship Id="rId475" Type="http://schemas.openxmlformats.org/officeDocument/2006/relationships/hyperlink" Target="http://bsdd.buildingsmart.org/" TargetMode="External"/><Relationship Id="rId682" Type="http://schemas.openxmlformats.org/officeDocument/2006/relationships/hyperlink" Target="http://bsdd.buildingsmart.org/" TargetMode="External"/><Relationship Id="rId32" Type="http://schemas.openxmlformats.org/officeDocument/2006/relationships/hyperlink" Target="http://bsdd.buildingsmart.org/" TargetMode="External"/><Relationship Id="rId128" Type="http://schemas.openxmlformats.org/officeDocument/2006/relationships/hyperlink" Target="http://bsdd.buildingsmart.org/" TargetMode="External"/><Relationship Id="rId335" Type="http://schemas.openxmlformats.org/officeDocument/2006/relationships/hyperlink" Target="http://bsdd.buildingsmart.org/" TargetMode="External"/><Relationship Id="rId542" Type="http://schemas.openxmlformats.org/officeDocument/2006/relationships/hyperlink" Target="http://bsdd.buildingsmart.org/" TargetMode="External"/><Relationship Id="rId181" Type="http://schemas.openxmlformats.org/officeDocument/2006/relationships/hyperlink" Target="http://bsdd.buildingsmart.org/" TargetMode="External"/><Relationship Id="rId402" Type="http://schemas.openxmlformats.org/officeDocument/2006/relationships/hyperlink" Target="http://bsdd.buildingsmart.org/" TargetMode="External"/><Relationship Id="rId279" Type="http://schemas.openxmlformats.org/officeDocument/2006/relationships/hyperlink" Target="http://bsdd.buildingsmart.org/" TargetMode="External"/><Relationship Id="rId486" Type="http://schemas.openxmlformats.org/officeDocument/2006/relationships/hyperlink" Target="http://bsdd.buildingsmart.org/" TargetMode="External"/><Relationship Id="rId693" Type="http://schemas.openxmlformats.org/officeDocument/2006/relationships/hyperlink" Target="http://bsdd.buildingsmart.org/" TargetMode="External"/><Relationship Id="rId707" Type="http://schemas.openxmlformats.org/officeDocument/2006/relationships/hyperlink" Target="http://bsdd.buildingsmart.org/" TargetMode="External"/><Relationship Id="rId43" Type="http://schemas.openxmlformats.org/officeDocument/2006/relationships/hyperlink" Target="http://bsdd.buildingsmart.org/" TargetMode="External"/><Relationship Id="rId139" Type="http://schemas.openxmlformats.org/officeDocument/2006/relationships/hyperlink" Target="http://bsdd.buildingsmart.org/" TargetMode="External"/><Relationship Id="rId346" Type="http://schemas.openxmlformats.org/officeDocument/2006/relationships/hyperlink" Target="http://bsdd.buildingsmart.org/" TargetMode="External"/><Relationship Id="rId553" Type="http://schemas.openxmlformats.org/officeDocument/2006/relationships/hyperlink" Target="http://bsdd.buildingsmart.org/" TargetMode="External"/><Relationship Id="rId760" Type="http://schemas.openxmlformats.org/officeDocument/2006/relationships/hyperlink" Target="http://bsdd.buildingsmart.org/" TargetMode="External"/><Relationship Id="rId192" Type="http://schemas.openxmlformats.org/officeDocument/2006/relationships/hyperlink" Target="http://bsdd.buildingsmart.org/" TargetMode="External"/><Relationship Id="rId206" Type="http://schemas.openxmlformats.org/officeDocument/2006/relationships/hyperlink" Target="http://bsdd.buildingsmart.org/" TargetMode="External"/><Relationship Id="rId413" Type="http://schemas.openxmlformats.org/officeDocument/2006/relationships/hyperlink" Target="http://bsdd.buildingsmart.org/" TargetMode="External"/><Relationship Id="rId497" Type="http://schemas.openxmlformats.org/officeDocument/2006/relationships/hyperlink" Target="http://bsdd.buildingsmart.org/" TargetMode="External"/><Relationship Id="rId620" Type="http://schemas.openxmlformats.org/officeDocument/2006/relationships/hyperlink" Target="http://bsdd.buildingsmart.org/" TargetMode="External"/><Relationship Id="rId718" Type="http://schemas.openxmlformats.org/officeDocument/2006/relationships/hyperlink" Target="http://bsdd.buildingsmart.org/" TargetMode="External"/><Relationship Id="rId357" Type="http://schemas.openxmlformats.org/officeDocument/2006/relationships/hyperlink" Target="http://bsdd.buildingsmart.org/" TargetMode="External"/><Relationship Id="rId54" Type="http://schemas.openxmlformats.org/officeDocument/2006/relationships/hyperlink" Target="http://bsdd.buildingsmart.org/" TargetMode="External"/><Relationship Id="rId217" Type="http://schemas.openxmlformats.org/officeDocument/2006/relationships/hyperlink" Target="http://bsdd.buildingsmart.org/" TargetMode="External"/><Relationship Id="rId564" Type="http://schemas.openxmlformats.org/officeDocument/2006/relationships/hyperlink" Target="http://bsdd.buildingsmart.org/" TargetMode="External"/><Relationship Id="rId771" Type="http://schemas.openxmlformats.org/officeDocument/2006/relationships/hyperlink" Target="http://bsdd.buildingsmart.org/" TargetMode="External"/><Relationship Id="rId259" Type="http://schemas.openxmlformats.org/officeDocument/2006/relationships/hyperlink" Target="http://bsdd.buildingsmart.org/" TargetMode="External"/><Relationship Id="rId424" Type="http://schemas.openxmlformats.org/officeDocument/2006/relationships/hyperlink" Target="http://bsdd.buildingsmart.org/" TargetMode="External"/><Relationship Id="rId466" Type="http://schemas.openxmlformats.org/officeDocument/2006/relationships/hyperlink" Target="http://bsdd.buildingsmart.org/" TargetMode="External"/><Relationship Id="rId631" Type="http://schemas.openxmlformats.org/officeDocument/2006/relationships/hyperlink" Target="http://bsdd.buildingsmart.org/" TargetMode="External"/><Relationship Id="rId673" Type="http://schemas.openxmlformats.org/officeDocument/2006/relationships/hyperlink" Target="http://bsdd.buildingsmart.org/" TargetMode="External"/><Relationship Id="rId729" Type="http://schemas.openxmlformats.org/officeDocument/2006/relationships/hyperlink" Target="http://bsdd.buildingsmart.org/" TargetMode="External"/><Relationship Id="rId23" Type="http://schemas.openxmlformats.org/officeDocument/2006/relationships/hyperlink" Target="http://bsdd.buildingsmart.org/" TargetMode="External"/><Relationship Id="rId119" Type="http://schemas.openxmlformats.org/officeDocument/2006/relationships/hyperlink" Target="http://bsdd.buildingsmart.org/" TargetMode="External"/><Relationship Id="rId270" Type="http://schemas.openxmlformats.org/officeDocument/2006/relationships/hyperlink" Target="http://bsdd.buildingsmart.org/" TargetMode="External"/><Relationship Id="rId326" Type="http://schemas.openxmlformats.org/officeDocument/2006/relationships/hyperlink" Target="http://bsdd.buildingsmart.org/" TargetMode="External"/><Relationship Id="rId533" Type="http://schemas.openxmlformats.org/officeDocument/2006/relationships/hyperlink" Target="http://bsdd.buildingsmart.org/" TargetMode="External"/><Relationship Id="rId65" Type="http://schemas.openxmlformats.org/officeDocument/2006/relationships/hyperlink" Target="http://bsdd.buildingsmart.org/" TargetMode="External"/><Relationship Id="rId130" Type="http://schemas.openxmlformats.org/officeDocument/2006/relationships/hyperlink" Target="http://bsdd.buildingsmart.org/" TargetMode="External"/><Relationship Id="rId368" Type="http://schemas.openxmlformats.org/officeDocument/2006/relationships/hyperlink" Target="http://bsdd.buildingsmart.org/" TargetMode="External"/><Relationship Id="rId575" Type="http://schemas.openxmlformats.org/officeDocument/2006/relationships/hyperlink" Target="http://bsdd.buildingsmart.org/" TargetMode="External"/><Relationship Id="rId740" Type="http://schemas.openxmlformats.org/officeDocument/2006/relationships/hyperlink" Target="http://bsdd.buildingsmart.org/" TargetMode="External"/><Relationship Id="rId782" Type="http://schemas.openxmlformats.org/officeDocument/2006/relationships/hyperlink" Target="http://bsdd.buildingsmart.org/" TargetMode="External"/><Relationship Id="rId172" Type="http://schemas.openxmlformats.org/officeDocument/2006/relationships/hyperlink" Target="http://bsdd.buildingsmart.org/" TargetMode="External"/><Relationship Id="rId228" Type="http://schemas.openxmlformats.org/officeDocument/2006/relationships/hyperlink" Target="http://bsdd.buildingsmart.org/" TargetMode="External"/><Relationship Id="rId435" Type="http://schemas.openxmlformats.org/officeDocument/2006/relationships/hyperlink" Target="http://bsdd.buildingsmart.org/" TargetMode="External"/><Relationship Id="rId477" Type="http://schemas.openxmlformats.org/officeDocument/2006/relationships/hyperlink" Target="http://bsdd.buildingsmart.org/" TargetMode="External"/><Relationship Id="rId600" Type="http://schemas.openxmlformats.org/officeDocument/2006/relationships/hyperlink" Target="http://bsdd.buildingsmart.org/" TargetMode="External"/><Relationship Id="rId642" Type="http://schemas.openxmlformats.org/officeDocument/2006/relationships/hyperlink" Target="http://bsdd.buildingsmart.org/" TargetMode="External"/><Relationship Id="rId684" Type="http://schemas.openxmlformats.org/officeDocument/2006/relationships/hyperlink" Target="http://bsdd.buildingsmart.org/" TargetMode="External"/><Relationship Id="rId281" Type="http://schemas.openxmlformats.org/officeDocument/2006/relationships/hyperlink" Target="http://bsdd.buildingsmart.org/" TargetMode="External"/><Relationship Id="rId337" Type="http://schemas.openxmlformats.org/officeDocument/2006/relationships/hyperlink" Target="http://bsdd.buildingsmart.org/" TargetMode="External"/><Relationship Id="rId502" Type="http://schemas.openxmlformats.org/officeDocument/2006/relationships/hyperlink" Target="http://bsdd.buildingsmart.org/" TargetMode="External"/><Relationship Id="rId34" Type="http://schemas.openxmlformats.org/officeDocument/2006/relationships/hyperlink" Target="http://bsdd.buildingsmart.org/" TargetMode="External"/><Relationship Id="rId76" Type="http://schemas.openxmlformats.org/officeDocument/2006/relationships/hyperlink" Target="http://bsdd.buildingsmart.org/" TargetMode="External"/><Relationship Id="rId141" Type="http://schemas.openxmlformats.org/officeDocument/2006/relationships/hyperlink" Target="http://bsdd.buildingsmart.org/" TargetMode="External"/><Relationship Id="rId379" Type="http://schemas.openxmlformats.org/officeDocument/2006/relationships/hyperlink" Target="http://bsdd.buildingsmart.org/" TargetMode="External"/><Relationship Id="rId544" Type="http://schemas.openxmlformats.org/officeDocument/2006/relationships/hyperlink" Target="http://bsdd.buildingsmart.org/" TargetMode="External"/><Relationship Id="rId586" Type="http://schemas.openxmlformats.org/officeDocument/2006/relationships/hyperlink" Target="http://bsdd.buildingsmart.org/" TargetMode="External"/><Relationship Id="rId751" Type="http://schemas.openxmlformats.org/officeDocument/2006/relationships/hyperlink" Target="http://bsdd.buildingsmart.org/" TargetMode="External"/><Relationship Id="rId793" Type="http://schemas.openxmlformats.org/officeDocument/2006/relationships/hyperlink" Target="http://bsdd.buildingsmart.org/" TargetMode="External"/><Relationship Id="rId807" Type="http://schemas.openxmlformats.org/officeDocument/2006/relationships/hyperlink" Target="http://bsdd.buildingsmart.org/" TargetMode="External"/><Relationship Id="rId7" Type="http://schemas.openxmlformats.org/officeDocument/2006/relationships/hyperlink" Target="http://bsdd.buildingsmart.org/" TargetMode="External"/><Relationship Id="rId183" Type="http://schemas.openxmlformats.org/officeDocument/2006/relationships/hyperlink" Target="http://bsdd.buildingsmart.org/" TargetMode="External"/><Relationship Id="rId239" Type="http://schemas.openxmlformats.org/officeDocument/2006/relationships/hyperlink" Target="http://bsdd.buildingsmart.org/" TargetMode="External"/><Relationship Id="rId390" Type="http://schemas.openxmlformats.org/officeDocument/2006/relationships/hyperlink" Target="http://bsdd.buildingsmart.org/" TargetMode="External"/><Relationship Id="rId404" Type="http://schemas.openxmlformats.org/officeDocument/2006/relationships/hyperlink" Target="http://bsdd.buildingsmart.org/" TargetMode="External"/><Relationship Id="rId446" Type="http://schemas.openxmlformats.org/officeDocument/2006/relationships/hyperlink" Target="http://bsdd.buildingsmart.org/" TargetMode="External"/><Relationship Id="rId611" Type="http://schemas.openxmlformats.org/officeDocument/2006/relationships/hyperlink" Target="http://bsdd.buildingsmart.org/" TargetMode="External"/><Relationship Id="rId653" Type="http://schemas.openxmlformats.org/officeDocument/2006/relationships/hyperlink" Target="http://bsdd.buildingsmart.org/" TargetMode="External"/><Relationship Id="rId250" Type="http://schemas.openxmlformats.org/officeDocument/2006/relationships/hyperlink" Target="http://bsdd.buildingsmart.org/" TargetMode="External"/><Relationship Id="rId292" Type="http://schemas.openxmlformats.org/officeDocument/2006/relationships/hyperlink" Target="http://bsdd.buildingsmart.org/" TargetMode="External"/><Relationship Id="rId306" Type="http://schemas.openxmlformats.org/officeDocument/2006/relationships/hyperlink" Target="http://bsdd.buildingsmart.org/" TargetMode="External"/><Relationship Id="rId488" Type="http://schemas.openxmlformats.org/officeDocument/2006/relationships/hyperlink" Target="http://bsdd.buildingsmart.org/" TargetMode="External"/><Relationship Id="rId695" Type="http://schemas.openxmlformats.org/officeDocument/2006/relationships/hyperlink" Target="http://bsdd.buildingsmart.org/" TargetMode="External"/><Relationship Id="rId709" Type="http://schemas.openxmlformats.org/officeDocument/2006/relationships/hyperlink" Target="http://bsdd.buildingsmart.org/" TargetMode="External"/><Relationship Id="rId45" Type="http://schemas.openxmlformats.org/officeDocument/2006/relationships/hyperlink" Target="http://bsdd.buildingsmart.org/" TargetMode="External"/><Relationship Id="rId87" Type="http://schemas.openxmlformats.org/officeDocument/2006/relationships/hyperlink" Target="http://bsdd.buildingsmart.org/" TargetMode="External"/><Relationship Id="rId110" Type="http://schemas.openxmlformats.org/officeDocument/2006/relationships/hyperlink" Target="http://bsdd.buildingsmart.org/" TargetMode="External"/><Relationship Id="rId348" Type="http://schemas.openxmlformats.org/officeDocument/2006/relationships/hyperlink" Target="http://bsdd.buildingsmart.org/" TargetMode="External"/><Relationship Id="rId513" Type="http://schemas.openxmlformats.org/officeDocument/2006/relationships/hyperlink" Target="http://bsdd.buildingsmart.org/" TargetMode="External"/><Relationship Id="rId555" Type="http://schemas.openxmlformats.org/officeDocument/2006/relationships/hyperlink" Target="http://bsdd.buildingsmart.org/" TargetMode="External"/><Relationship Id="rId597" Type="http://schemas.openxmlformats.org/officeDocument/2006/relationships/hyperlink" Target="http://bsdd.buildingsmart.org/" TargetMode="External"/><Relationship Id="rId720" Type="http://schemas.openxmlformats.org/officeDocument/2006/relationships/hyperlink" Target="http://bsdd.buildingsmart.org/" TargetMode="External"/><Relationship Id="rId762" Type="http://schemas.openxmlformats.org/officeDocument/2006/relationships/hyperlink" Target="http://bsdd.buildingsmart.org/" TargetMode="External"/><Relationship Id="rId818" Type="http://schemas.openxmlformats.org/officeDocument/2006/relationships/hyperlink" Target="http://bsdd.buildingsmart.org/" TargetMode="External"/><Relationship Id="rId152" Type="http://schemas.openxmlformats.org/officeDocument/2006/relationships/hyperlink" Target="http://bsdd.buildingsmart.org/" TargetMode="External"/><Relationship Id="rId194" Type="http://schemas.openxmlformats.org/officeDocument/2006/relationships/hyperlink" Target="http://bsdd.buildingsmart.org/" TargetMode="External"/><Relationship Id="rId208" Type="http://schemas.openxmlformats.org/officeDocument/2006/relationships/hyperlink" Target="http://bsdd.buildingsmart.org/" TargetMode="External"/><Relationship Id="rId415" Type="http://schemas.openxmlformats.org/officeDocument/2006/relationships/hyperlink" Target="http://bsdd.buildingsmart.org/" TargetMode="External"/><Relationship Id="rId457" Type="http://schemas.openxmlformats.org/officeDocument/2006/relationships/hyperlink" Target="http://bsdd.buildingsmart.org/" TargetMode="External"/><Relationship Id="rId622" Type="http://schemas.openxmlformats.org/officeDocument/2006/relationships/hyperlink" Target="http://bsdd.buildingsmart.org/" TargetMode="External"/><Relationship Id="rId261" Type="http://schemas.openxmlformats.org/officeDocument/2006/relationships/hyperlink" Target="http://bsdd.buildingsmart.org/" TargetMode="External"/><Relationship Id="rId499" Type="http://schemas.openxmlformats.org/officeDocument/2006/relationships/hyperlink" Target="http://bsdd.buildingsmart.org/" TargetMode="External"/><Relationship Id="rId664" Type="http://schemas.openxmlformats.org/officeDocument/2006/relationships/hyperlink" Target="http://bsdd.buildingsmart.org/" TargetMode="External"/><Relationship Id="rId14" Type="http://schemas.openxmlformats.org/officeDocument/2006/relationships/hyperlink" Target="http://bsdd.buildingsmart.org/" TargetMode="External"/><Relationship Id="rId56" Type="http://schemas.openxmlformats.org/officeDocument/2006/relationships/hyperlink" Target="http://bsdd.buildingsmart.org/" TargetMode="External"/><Relationship Id="rId317" Type="http://schemas.openxmlformats.org/officeDocument/2006/relationships/hyperlink" Target="http://bsdd.buildingsmart.org/" TargetMode="External"/><Relationship Id="rId359" Type="http://schemas.openxmlformats.org/officeDocument/2006/relationships/hyperlink" Target="http://bsdd.buildingsmart.org/" TargetMode="External"/><Relationship Id="rId524" Type="http://schemas.openxmlformats.org/officeDocument/2006/relationships/hyperlink" Target="http://bsdd.buildingsmart.org/" TargetMode="External"/><Relationship Id="rId566" Type="http://schemas.openxmlformats.org/officeDocument/2006/relationships/hyperlink" Target="http://bsdd.buildingsmart.org/" TargetMode="External"/><Relationship Id="rId731" Type="http://schemas.openxmlformats.org/officeDocument/2006/relationships/hyperlink" Target="http://bsdd.buildingsmart.org/" TargetMode="External"/><Relationship Id="rId773" Type="http://schemas.openxmlformats.org/officeDocument/2006/relationships/hyperlink" Target="http://bsdd.buildingsmart.org/" TargetMode="External"/><Relationship Id="rId98" Type="http://schemas.openxmlformats.org/officeDocument/2006/relationships/hyperlink" Target="http://bsdd.buildingsmart.org/" TargetMode="External"/><Relationship Id="rId121" Type="http://schemas.openxmlformats.org/officeDocument/2006/relationships/hyperlink" Target="http://bsdd.buildingsmart.org/" TargetMode="External"/><Relationship Id="rId163" Type="http://schemas.openxmlformats.org/officeDocument/2006/relationships/hyperlink" Target="http://bsdd.buildingsmart.org/" TargetMode="External"/><Relationship Id="rId219" Type="http://schemas.openxmlformats.org/officeDocument/2006/relationships/hyperlink" Target="http://bsdd.buildingsmart.org/" TargetMode="External"/><Relationship Id="rId370" Type="http://schemas.openxmlformats.org/officeDocument/2006/relationships/hyperlink" Target="http://bsdd.buildingsmart.org/" TargetMode="External"/><Relationship Id="rId426" Type="http://schemas.openxmlformats.org/officeDocument/2006/relationships/hyperlink" Target="http://bsdd.buildingsmart.org/" TargetMode="External"/><Relationship Id="rId633" Type="http://schemas.openxmlformats.org/officeDocument/2006/relationships/hyperlink" Target="http://bsdd.buildingsmart.org/" TargetMode="External"/><Relationship Id="rId829" Type="http://schemas.openxmlformats.org/officeDocument/2006/relationships/hyperlink" Target="http://bsdd.buildingsmart.org/" TargetMode="External"/><Relationship Id="rId230" Type="http://schemas.openxmlformats.org/officeDocument/2006/relationships/hyperlink" Target="http://bsdd.buildingsmart.org/" TargetMode="External"/><Relationship Id="rId468" Type="http://schemas.openxmlformats.org/officeDocument/2006/relationships/hyperlink" Target="http://bsdd.buildingsmart.org/" TargetMode="External"/><Relationship Id="rId675" Type="http://schemas.openxmlformats.org/officeDocument/2006/relationships/hyperlink" Target="http://bsdd.buildingsmart.org/" TargetMode="External"/><Relationship Id="rId25" Type="http://schemas.openxmlformats.org/officeDocument/2006/relationships/hyperlink" Target="http://bsdd.buildingsmart.org/" TargetMode="External"/><Relationship Id="rId67" Type="http://schemas.openxmlformats.org/officeDocument/2006/relationships/hyperlink" Target="http://bsdd.buildingsmart.org/" TargetMode="External"/><Relationship Id="rId272" Type="http://schemas.openxmlformats.org/officeDocument/2006/relationships/hyperlink" Target="http://bsdd.buildingsmart.org/" TargetMode="External"/><Relationship Id="rId328" Type="http://schemas.openxmlformats.org/officeDocument/2006/relationships/hyperlink" Target="http://bsdd.buildingsmart.org/" TargetMode="External"/><Relationship Id="rId535" Type="http://schemas.openxmlformats.org/officeDocument/2006/relationships/hyperlink" Target="http://bsdd.buildingsmart.org/" TargetMode="External"/><Relationship Id="rId577" Type="http://schemas.openxmlformats.org/officeDocument/2006/relationships/hyperlink" Target="http://bsdd.buildingsmart.org/" TargetMode="External"/><Relationship Id="rId700" Type="http://schemas.openxmlformats.org/officeDocument/2006/relationships/hyperlink" Target="http://bsdd.buildingsmart.org/" TargetMode="External"/><Relationship Id="rId742" Type="http://schemas.openxmlformats.org/officeDocument/2006/relationships/hyperlink" Target="http://bsdd.buildingsmart.org/" TargetMode="External"/><Relationship Id="rId132" Type="http://schemas.openxmlformats.org/officeDocument/2006/relationships/hyperlink" Target="http://bsdd.buildingsmart.org/" TargetMode="External"/><Relationship Id="rId174" Type="http://schemas.openxmlformats.org/officeDocument/2006/relationships/hyperlink" Target="http://bsdd.buildingsmart.org/" TargetMode="External"/><Relationship Id="rId381" Type="http://schemas.openxmlformats.org/officeDocument/2006/relationships/hyperlink" Target="http://bsdd.buildingsmart.org/" TargetMode="External"/><Relationship Id="rId602" Type="http://schemas.openxmlformats.org/officeDocument/2006/relationships/hyperlink" Target="http://bsdd.buildingsmart.org/" TargetMode="External"/><Relationship Id="rId784" Type="http://schemas.openxmlformats.org/officeDocument/2006/relationships/hyperlink" Target="http://bsdd.buildingsmart.org/" TargetMode="External"/><Relationship Id="rId241" Type="http://schemas.openxmlformats.org/officeDocument/2006/relationships/hyperlink" Target="http://bsdd.buildingsmart.org/" TargetMode="External"/><Relationship Id="rId437" Type="http://schemas.openxmlformats.org/officeDocument/2006/relationships/hyperlink" Target="http://bsdd.buildingsmart.org/" TargetMode="External"/><Relationship Id="rId479" Type="http://schemas.openxmlformats.org/officeDocument/2006/relationships/hyperlink" Target="http://bsdd.buildingsmart.org/" TargetMode="External"/><Relationship Id="rId644" Type="http://schemas.openxmlformats.org/officeDocument/2006/relationships/hyperlink" Target="http://bsdd.buildingsmart.org/" TargetMode="External"/><Relationship Id="rId686" Type="http://schemas.openxmlformats.org/officeDocument/2006/relationships/hyperlink" Target="http://bsdd.buildingsmart.org/" TargetMode="External"/><Relationship Id="rId36" Type="http://schemas.openxmlformats.org/officeDocument/2006/relationships/hyperlink" Target="http://bsdd.buildingsmart.org/" TargetMode="External"/><Relationship Id="rId283" Type="http://schemas.openxmlformats.org/officeDocument/2006/relationships/hyperlink" Target="http://bsdd.buildingsmart.org/" TargetMode="External"/><Relationship Id="rId339" Type="http://schemas.openxmlformats.org/officeDocument/2006/relationships/hyperlink" Target="http://bsdd.buildingsmart.org/" TargetMode="External"/><Relationship Id="rId490" Type="http://schemas.openxmlformats.org/officeDocument/2006/relationships/hyperlink" Target="http://bsdd.buildingsmart.org/" TargetMode="External"/><Relationship Id="rId504" Type="http://schemas.openxmlformats.org/officeDocument/2006/relationships/hyperlink" Target="http://bsdd.buildingsmart.org/" TargetMode="External"/><Relationship Id="rId546" Type="http://schemas.openxmlformats.org/officeDocument/2006/relationships/hyperlink" Target="http://bsdd.buildingsmart.org/" TargetMode="External"/><Relationship Id="rId711" Type="http://schemas.openxmlformats.org/officeDocument/2006/relationships/hyperlink" Target="http://bsdd.buildingsmart.org/" TargetMode="External"/><Relationship Id="rId753" Type="http://schemas.openxmlformats.org/officeDocument/2006/relationships/hyperlink" Target="http://bsdd.buildingsmart.org/" TargetMode="External"/><Relationship Id="rId78" Type="http://schemas.openxmlformats.org/officeDocument/2006/relationships/hyperlink" Target="http://bsdd.buildingsmart.org/" TargetMode="External"/><Relationship Id="rId101" Type="http://schemas.openxmlformats.org/officeDocument/2006/relationships/hyperlink" Target="http://bsdd.buildingsmart.org/" TargetMode="External"/><Relationship Id="rId143" Type="http://schemas.openxmlformats.org/officeDocument/2006/relationships/hyperlink" Target="http://bsdd.buildingsmart.org/" TargetMode="External"/><Relationship Id="rId185" Type="http://schemas.openxmlformats.org/officeDocument/2006/relationships/hyperlink" Target="http://bsdd.buildingsmart.org/" TargetMode="External"/><Relationship Id="rId350" Type="http://schemas.openxmlformats.org/officeDocument/2006/relationships/hyperlink" Target="http://bsdd.buildingsmart.org/" TargetMode="External"/><Relationship Id="rId406" Type="http://schemas.openxmlformats.org/officeDocument/2006/relationships/hyperlink" Target="http://bsdd.buildingsmart.org/" TargetMode="External"/><Relationship Id="rId588" Type="http://schemas.openxmlformats.org/officeDocument/2006/relationships/hyperlink" Target="http://bsdd.buildingsmart.org/" TargetMode="External"/><Relationship Id="rId795" Type="http://schemas.openxmlformats.org/officeDocument/2006/relationships/hyperlink" Target="http://bsdd.buildingsmart.org/" TargetMode="External"/><Relationship Id="rId809" Type="http://schemas.openxmlformats.org/officeDocument/2006/relationships/hyperlink" Target="http://bsdd.buildingsmart.org/" TargetMode="External"/><Relationship Id="rId9" Type="http://schemas.openxmlformats.org/officeDocument/2006/relationships/hyperlink" Target="http://bsdd.buildingsmart.org/" TargetMode="External"/><Relationship Id="rId210" Type="http://schemas.openxmlformats.org/officeDocument/2006/relationships/hyperlink" Target="http://bsdd.buildingsmart.org/" TargetMode="External"/><Relationship Id="rId392" Type="http://schemas.openxmlformats.org/officeDocument/2006/relationships/hyperlink" Target="http://bsdd.buildingsmart.org/" TargetMode="External"/><Relationship Id="rId448" Type="http://schemas.openxmlformats.org/officeDocument/2006/relationships/hyperlink" Target="http://bsdd.buildingsmart.org/" TargetMode="External"/><Relationship Id="rId613" Type="http://schemas.openxmlformats.org/officeDocument/2006/relationships/hyperlink" Target="http://bsdd.buildingsmart.org/" TargetMode="External"/><Relationship Id="rId655" Type="http://schemas.openxmlformats.org/officeDocument/2006/relationships/hyperlink" Target="http://bsdd.buildingsmart.org/" TargetMode="External"/><Relationship Id="rId697" Type="http://schemas.openxmlformats.org/officeDocument/2006/relationships/hyperlink" Target="http://bsdd.buildingsmart.org/" TargetMode="External"/><Relationship Id="rId820" Type="http://schemas.openxmlformats.org/officeDocument/2006/relationships/hyperlink" Target="http://bsdd.buildingsmart.org/" TargetMode="External"/><Relationship Id="rId252" Type="http://schemas.openxmlformats.org/officeDocument/2006/relationships/hyperlink" Target="http://bsdd.buildingsmart.org/" TargetMode="External"/><Relationship Id="rId294" Type="http://schemas.openxmlformats.org/officeDocument/2006/relationships/hyperlink" Target="http://bsdd.buildingsmart.org/" TargetMode="External"/><Relationship Id="rId308" Type="http://schemas.openxmlformats.org/officeDocument/2006/relationships/hyperlink" Target="http://bsdd.buildingsmart.org/" TargetMode="External"/><Relationship Id="rId515" Type="http://schemas.openxmlformats.org/officeDocument/2006/relationships/hyperlink" Target="http://bsdd.buildingsmart.org/" TargetMode="External"/><Relationship Id="rId722" Type="http://schemas.openxmlformats.org/officeDocument/2006/relationships/hyperlink" Target="http://bsdd.buildingsmart.org/" TargetMode="External"/><Relationship Id="rId47" Type="http://schemas.openxmlformats.org/officeDocument/2006/relationships/hyperlink" Target="http://bsdd.buildingsmart.org/" TargetMode="External"/><Relationship Id="rId89" Type="http://schemas.openxmlformats.org/officeDocument/2006/relationships/hyperlink" Target="http://bsdd.buildingsmart.org/" TargetMode="External"/><Relationship Id="rId112" Type="http://schemas.openxmlformats.org/officeDocument/2006/relationships/hyperlink" Target="http://bsdd.buildingsmart.org/" TargetMode="External"/><Relationship Id="rId154" Type="http://schemas.openxmlformats.org/officeDocument/2006/relationships/hyperlink" Target="http://bsdd.buildingsmart.org/" TargetMode="External"/><Relationship Id="rId361" Type="http://schemas.openxmlformats.org/officeDocument/2006/relationships/hyperlink" Target="http://bsdd.buildingsmart.org/" TargetMode="External"/><Relationship Id="rId557" Type="http://schemas.openxmlformats.org/officeDocument/2006/relationships/hyperlink" Target="http://bsdd.buildingsmart.org/" TargetMode="External"/><Relationship Id="rId599" Type="http://schemas.openxmlformats.org/officeDocument/2006/relationships/hyperlink" Target="http://bsdd.buildingsmart.org/" TargetMode="External"/><Relationship Id="rId764" Type="http://schemas.openxmlformats.org/officeDocument/2006/relationships/hyperlink" Target="http://bsdd.buildingsmart.org/" TargetMode="External"/><Relationship Id="rId196" Type="http://schemas.openxmlformats.org/officeDocument/2006/relationships/hyperlink" Target="http://bsdd.buildingsmart.org/" TargetMode="External"/><Relationship Id="rId417" Type="http://schemas.openxmlformats.org/officeDocument/2006/relationships/hyperlink" Target="http://bsdd.buildingsmart.org/" TargetMode="External"/><Relationship Id="rId459" Type="http://schemas.openxmlformats.org/officeDocument/2006/relationships/hyperlink" Target="http://bsdd.buildingsmart.org/" TargetMode="External"/><Relationship Id="rId624" Type="http://schemas.openxmlformats.org/officeDocument/2006/relationships/hyperlink" Target="http://bsdd.buildingsmart.org/" TargetMode="External"/><Relationship Id="rId666" Type="http://schemas.openxmlformats.org/officeDocument/2006/relationships/hyperlink" Target="http://bsdd.buildingsmart.org/" TargetMode="External"/><Relationship Id="rId831" Type="http://schemas.openxmlformats.org/officeDocument/2006/relationships/hyperlink" Target="http://bsdd.buildingsmart.org/" TargetMode="External"/><Relationship Id="rId16" Type="http://schemas.openxmlformats.org/officeDocument/2006/relationships/hyperlink" Target="http://bsdd.buildingsmart.org/" TargetMode="External"/><Relationship Id="rId221" Type="http://schemas.openxmlformats.org/officeDocument/2006/relationships/hyperlink" Target="http://bsdd.buildingsmart.org/" TargetMode="External"/><Relationship Id="rId263" Type="http://schemas.openxmlformats.org/officeDocument/2006/relationships/hyperlink" Target="http://bsdd.buildingsmart.org/" TargetMode="External"/><Relationship Id="rId319" Type="http://schemas.openxmlformats.org/officeDocument/2006/relationships/hyperlink" Target="http://bsdd.buildingsmart.org/" TargetMode="External"/><Relationship Id="rId470" Type="http://schemas.openxmlformats.org/officeDocument/2006/relationships/hyperlink" Target="http://bsdd.buildingsmart.org/" TargetMode="External"/><Relationship Id="rId526" Type="http://schemas.openxmlformats.org/officeDocument/2006/relationships/hyperlink" Target="http://bsdd.buildingsmart.org/" TargetMode="External"/><Relationship Id="rId58" Type="http://schemas.openxmlformats.org/officeDocument/2006/relationships/hyperlink" Target="http://bsdd.buildingsmart.org/" TargetMode="External"/><Relationship Id="rId123" Type="http://schemas.openxmlformats.org/officeDocument/2006/relationships/hyperlink" Target="http://bsdd.buildingsmart.org/" TargetMode="External"/><Relationship Id="rId330" Type="http://schemas.openxmlformats.org/officeDocument/2006/relationships/hyperlink" Target="http://bsdd.buildingsmart.org/" TargetMode="External"/><Relationship Id="rId568" Type="http://schemas.openxmlformats.org/officeDocument/2006/relationships/hyperlink" Target="http://bsdd.buildingsmart.org/" TargetMode="External"/><Relationship Id="rId733" Type="http://schemas.openxmlformats.org/officeDocument/2006/relationships/hyperlink" Target="http://bsdd.buildingsmart.org/" TargetMode="External"/><Relationship Id="rId775" Type="http://schemas.openxmlformats.org/officeDocument/2006/relationships/hyperlink" Target="http://bsdd.buildingsmart.org/" TargetMode="External"/><Relationship Id="rId165" Type="http://schemas.openxmlformats.org/officeDocument/2006/relationships/hyperlink" Target="http://bsdd.buildingsmart.org/" TargetMode="External"/><Relationship Id="rId372" Type="http://schemas.openxmlformats.org/officeDocument/2006/relationships/hyperlink" Target="http://bsdd.buildingsmart.org/" TargetMode="External"/><Relationship Id="rId428" Type="http://schemas.openxmlformats.org/officeDocument/2006/relationships/hyperlink" Target="http://bsdd.buildingsmart.org/" TargetMode="External"/><Relationship Id="rId635" Type="http://schemas.openxmlformats.org/officeDocument/2006/relationships/hyperlink" Target="http://bsdd.buildingsmart.org/" TargetMode="External"/><Relationship Id="rId677" Type="http://schemas.openxmlformats.org/officeDocument/2006/relationships/hyperlink" Target="http://bsdd.buildingsmart.org/" TargetMode="External"/><Relationship Id="rId800" Type="http://schemas.openxmlformats.org/officeDocument/2006/relationships/hyperlink" Target="http://bsdd.buildingsmart.org/" TargetMode="External"/><Relationship Id="rId232" Type="http://schemas.openxmlformats.org/officeDocument/2006/relationships/hyperlink" Target="http://bsdd.buildingsmart.org/" TargetMode="External"/><Relationship Id="rId274" Type="http://schemas.openxmlformats.org/officeDocument/2006/relationships/hyperlink" Target="http://bsdd.buildingsmart.org/" TargetMode="External"/><Relationship Id="rId481" Type="http://schemas.openxmlformats.org/officeDocument/2006/relationships/hyperlink" Target="http://bsdd.buildingsmart.org/" TargetMode="External"/><Relationship Id="rId702" Type="http://schemas.openxmlformats.org/officeDocument/2006/relationships/hyperlink" Target="http://bsdd.buildingsmart.org/" TargetMode="External"/><Relationship Id="rId27" Type="http://schemas.openxmlformats.org/officeDocument/2006/relationships/hyperlink" Target="http://bsdd.buildingsmart.org/" TargetMode="External"/><Relationship Id="rId69" Type="http://schemas.openxmlformats.org/officeDocument/2006/relationships/hyperlink" Target="http://bsdd.buildingsmart.org/" TargetMode="External"/><Relationship Id="rId134" Type="http://schemas.openxmlformats.org/officeDocument/2006/relationships/hyperlink" Target="http://bsdd.buildingsmart.org/" TargetMode="External"/><Relationship Id="rId537" Type="http://schemas.openxmlformats.org/officeDocument/2006/relationships/hyperlink" Target="http://bsdd.buildingsmart.org/" TargetMode="External"/><Relationship Id="rId579" Type="http://schemas.openxmlformats.org/officeDocument/2006/relationships/hyperlink" Target="http://bsdd.buildingsmart.org/" TargetMode="External"/><Relationship Id="rId744" Type="http://schemas.openxmlformats.org/officeDocument/2006/relationships/hyperlink" Target="http://bsdd.buildingsmart.org/" TargetMode="External"/><Relationship Id="rId786" Type="http://schemas.openxmlformats.org/officeDocument/2006/relationships/hyperlink" Target="http://bsdd.buildingsmart.org/" TargetMode="External"/><Relationship Id="rId80" Type="http://schemas.openxmlformats.org/officeDocument/2006/relationships/hyperlink" Target="http://bsdd.buildingsmart.org/" TargetMode="External"/><Relationship Id="rId176" Type="http://schemas.openxmlformats.org/officeDocument/2006/relationships/hyperlink" Target="http://bsdd.buildingsmart.org/" TargetMode="External"/><Relationship Id="rId341" Type="http://schemas.openxmlformats.org/officeDocument/2006/relationships/hyperlink" Target="http://bsdd.buildingsmart.org/" TargetMode="External"/><Relationship Id="rId383" Type="http://schemas.openxmlformats.org/officeDocument/2006/relationships/hyperlink" Target="http://bsdd.buildingsmart.org/" TargetMode="External"/><Relationship Id="rId439" Type="http://schemas.openxmlformats.org/officeDocument/2006/relationships/hyperlink" Target="http://bsdd.buildingsmart.org/" TargetMode="External"/><Relationship Id="rId590" Type="http://schemas.openxmlformats.org/officeDocument/2006/relationships/hyperlink" Target="http://bsdd.buildingsmart.org/" TargetMode="External"/><Relationship Id="rId604" Type="http://schemas.openxmlformats.org/officeDocument/2006/relationships/hyperlink" Target="http://bsdd.buildingsmart.org/" TargetMode="External"/><Relationship Id="rId646" Type="http://schemas.openxmlformats.org/officeDocument/2006/relationships/hyperlink" Target="http://bsdd.buildingsmart.org/" TargetMode="External"/><Relationship Id="rId811" Type="http://schemas.openxmlformats.org/officeDocument/2006/relationships/hyperlink" Target="http://bsdd.buildingsmart.org/" TargetMode="External"/><Relationship Id="rId201" Type="http://schemas.openxmlformats.org/officeDocument/2006/relationships/hyperlink" Target="http://bsdd.buildingsmart.org/" TargetMode="External"/><Relationship Id="rId243" Type="http://schemas.openxmlformats.org/officeDocument/2006/relationships/hyperlink" Target="http://bsdd.buildingsmart.org/" TargetMode="External"/><Relationship Id="rId285" Type="http://schemas.openxmlformats.org/officeDocument/2006/relationships/hyperlink" Target="http://bsdd.buildingsmart.org/" TargetMode="External"/><Relationship Id="rId450" Type="http://schemas.openxmlformats.org/officeDocument/2006/relationships/hyperlink" Target="http://bsdd.buildingsmart.org/" TargetMode="External"/><Relationship Id="rId506" Type="http://schemas.openxmlformats.org/officeDocument/2006/relationships/hyperlink" Target="http://bsdd.buildingsmart.org/" TargetMode="External"/><Relationship Id="rId688" Type="http://schemas.openxmlformats.org/officeDocument/2006/relationships/hyperlink" Target="http://bsdd.buildingsmart.org/" TargetMode="External"/><Relationship Id="rId38" Type="http://schemas.openxmlformats.org/officeDocument/2006/relationships/hyperlink" Target="http://bsdd.buildingsmart.org/" TargetMode="External"/><Relationship Id="rId103" Type="http://schemas.openxmlformats.org/officeDocument/2006/relationships/hyperlink" Target="http://bsdd.buildingsmart.org/" TargetMode="External"/><Relationship Id="rId310" Type="http://schemas.openxmlformats.org/officeDocument/2006/relationships/hyperlink" Target="http://bsdd.buildingsmart.org/" TargetMode="External"/><Relationship Id="rId492" Type="http://schemas.openxmlformats.org/officeDocument/2006/relationships/hyperlink" Target="http://bsdd.buildingsmart.org/" TargetMode="External"/><Relationship Id="rId548" Type="http://schemas.openxmlformats.org/officeDocument/2006/relationships/hyperlink" Target="http://bsdd.buildingsmart.org/" TargetMode="External"/><Relationship Id="rId713" Type="http://schemas.openxmlformats.org/officeDocument/2006/relationships/hyperlink" Target="http://bsdd.buildingsmart.org/" TargetMode="External"/><Relationship Id="rId755" Type="http://schemas.openxmlformats.org/officeDocument/2006/relationships/hyperlink" Target="http://bsdd.buildingsmart.org/" TargetMode="External"/><Relationship Id="rId797" Type="http://schemas.openxmlformats.org/officeDocument/2006/relationships/hyperlink" Target="http://bsdd.buildingsmart.org/" TargetMode="External"/><Relationship Id="rId91" Type="http://schemas.openxmlformats.org/officeDocument/2006/relationships/hyperlink" Target="http://bsdd.buildingsmart.org/" TargetMode="External"/><Relationship Id="rId145" Type="http://schemas.openxmlformats.org/officeDocument/2006/relationships/hyperlink" Target="http://bsdd.buildingsmart.org/" TargetMode="External"/><Relationship Id="rId187" Type="http://schemas.openxmlformats.org/officeDocument/2006/relationships/hyperlink" Target="http://bsdd.buildingsmart.org/" TargetMode="External"/><Relationship Id="rId352" Type="http://schemas.openxmlformats.org/officeDocument/2006/relationships/hyperlink" Target="http://bsdd.buildingsmart.org/" TargetMode="External"/><Relationship Id="rId394" Type="http://schemas.openxmlformats.org/officeDocument/2006/relationships/hyperlink" Target="http://bsdd.buildingsmart.org/" TargetMode="External"/><Relationship Id="rId408" Type="http://schemas.openxmlformats.org/officeDocument/2006/relationships/hyperlink" Target="http://bsdd.buildingsmart.org/" TargetMode="External"/><Relationship Id="rId615" Type="http://schemas.openxmlformats.org/officeDocument/2006/relationships/hyperlink" Target="http://bsdd.buildingsmart.org/" TargetMode="External"/><Relationship Id="rId822" Type="http://schemas.openxmlformats.org/officeDocument/2006/relationships/hyperlink" Target="http://bsdd.buildingsmart.org/" TargetMode="External"/><Relationship Id="rId212" Type="http://schemas.openxmlformats.org/officeDocument/2006/relationships/hyperlink" Target="http://bsdd.buildingsmart.org/" TargetMode="External"/><Relationship Id="rId254" Type="http://schemas.openxmlformats.org/officeDocument/2006/relationships/hyperlink" Target="http://bsdd.buildingsmart.org/" TargetMode="External"/><Relationship Id="rId657" Type="http://schemas.openxmlformats.org/officeDocument/2006/relationships/hyperlink" Target="http://bsdd.buildingsmart.org/" TargetMode="External"/><Relationship Id="rId699" Type="http://schemas.openxmlformats.org/officeDocument/2006/relationships/hyperlink" Target="http://bsdd.buildingsmart.org/" TargetMode="External"/><Relationship Id="rId49" Type="http://schemas.openxmlformats.org/officeDocument/2006/relationships/hyperlink" Target="http://bsdd.buildingsmart.org/" TargetMode="External"/><Relationship Id="rId114" Type="http://schemas.openxmlformats.org/officeDocument/2006/relationships/hyperlink" Target="http://bsdd.buildingsmart.org/" TargetMode="External"/><Relationship Id="rId296" Type="http://schemas.openxmlformats.org/officeDocument/2006/relationships/hyperlink" Target="http://bsdd.buildingsmart.org/" TargetMode="External"/><Relationship Id="rId461" Type="http://schemas.openxmlformats.org/officeDocument/2006/relationships/hyperlink" Target="http://bsdd.buildingsmart.org/" TargetMode="External"/><Relationship Id="rId517" Type="http://schemas.openxmlformats.org/officeDocument/2006/relationships/hyperlink" Target="http://bsdd.buildingsmart.org/" TargetMode="External"/><Relationship Id="rId559" Type="http://schemas.openxmlformats.org/officeDocument/2006/relationships/hyperlink" Target="http://bsdd.buildingsmart.org/" TargetMode="External"/><Relationship Id="rId724" Type="http://schemas.openxmlformats.org/officeDocument/2006/relationships/hyperlink" Target="http://bsdd.buildingsmart.org/" TargetMode="External"/><Relationship Id="rId766" Type="http://schemas.openxmlformats.org/officeDocument/2006/relationships/hyperlink" Target="http://bsdd.buildingsmart.org/" TargetMode="External"/><Relationship Id="rId60" Type="http://schemas.openxmlformats.org/officeDocument/2006/relationships/hyperlink" Target="http://bsdd.buildingsmart.org/" TargetMode="External"/><Relationship Id="rId156" Type="http://schemas.openxmlformats.org/officeDocument/2006/relationships/hyperlink" Target="http://bsdd.buildingsmart.org/" TargetMode="External"/><Relationship Id="rId198" Type="http://schemas.openxmlformats.org/officeDocument/2006/relationships/hyperlink" Target="http://bsdd.buildingsmart.org/" TargetMode="External"/><Relationship Id="rId321" Type="http://schemas.openxmlformats.org/officeDocument/2006/relationships/hyperlink" Target="http://bsdd.buildingsmart.org/" TargetMode="External"/><Relationship Id="rId363" Type="http://schemas.openxmlformats.org/officeDocument/2006/relationships/hyperlink" Target="http://bsdd.buildingsmart.org/" TargetMode="External"/><Relationship Id="rId419" Type="http://schemas.openxmlformats.org/officeDocument/2006/relationships/hyperlink" Target="http://bsdd.buildingsmart.org/" TargetMode="External"/><Relationship Id="rId570" Type="http://schemas.openxmlformats.org/officeDocument/2006/relationships/hyperlink" Target="http://bsdd.buildingsmart.org/" TargetMode="External"/><Relationship Id="rId626" Type="http://schemas.openxmlformats.org/officeDocument/2006/relationships/hyperlink" Target="http://bsdd.buildingsmart.org/" TargetMode="External"/><Relationship Id="rId223" Type="http://schemas.openxmlformats.org/officeDocument/2006/relationships/hyperlink" Target="http://bsdd.buildingsmart.org/" TargetMode="External"/><Relationship Id="rId430" Type="http://schemas.openxmlformats.org/officeDocument/2006/relationships/hyperlink" Target="http://bsdd.buildingsmart.org/" TargetMode="External"/><Relationship Id="rId668" Type="http://schemas.openxmlformats.org/officeDocument/2006/relationships/hyperlink" Target="http://bsdd.buildingsmart.org/" TargetMode="External"/><Relationship Id="rId833" Type="http://schemas.openxmlformats.org/officeDocument/2006/relationships/drawing" Target="../drawings/drawing1.xml"/><Relationship Id="rId18" Type="http://schemas.openxmlformats.org/officeDocument/2006/relationships/hyperlink" Target="http://bsdd.buildingsmart.org/" TargetMode="External"/><Relationship Id="rId265" Type="http://schemas.openxmlformats.org/officeDocument/2006/relationships/hyperlink" Target="http://bsdd.buildingsmart.org/" TargetMode="External"/><Relationship Id="rId472" Type="http://schemas.openxmlformats.org/officeDocument/2006/relationships/hyperlink" Target="http://bsdd.buildingsmart.org/" TargetMode="External"/><Relationship Id="rId528" Type="http://schemas.openxmlformats.org/officeDocument/2006/relationships/hyperlink" Target="http://bsdd.buildingsmart.org/" TargetMode="External"/><Relationship Id="rId735" Type="http://schemas.openxmlformats.org/officeDocument/2006/relationships/hyperlink" Target="http://bsdd.buildingsmart.org/" TargetMode="External"/><Relationship Id="rId125" Type="http://schemas.openxmlformats.org/officeDocument/2006/relationships/hyperlink" Target="http://bsdd.buildingsmart.org/" TargetMode="External"/><Relationship Id="rId167" Type="http://schemas.openxmlformats.org/officeDocument/2006/relationships/hyperlink" Target="http://bsdd.buildingsmart.org/" TargetMode="External"/><Relationship Id="rId332" Type="http://schemas.openxmlformats.org/officeDocument/2006/relationships/hyperlink" Target="http://bsdd.buildingsmart.org/" TargetMode="External"/><Relationship Id="rId374" Type="http://schemas.openxmlformats.org/officeDocument/2006/relationships/hyperlink" Target="http://bsdd.buildingsmart.org/" TargetMode="External"/><Relationship Id="rId581" Type="http://schemas.openxmlformats.org/officeDocument/2006/relationships/hyperlink" Target="http://bsdd.buildingsmart.org/" TargetMode="External"/><Relationship Id="rId777" Type="http://schemas.openxmlformats.org/officeDocument/2006/relationships/hyperlink" Target="http://bsdd.buildingsmart.org/" TargetMode="External"/><Relationship Id="rId71" Type="http://schemas.openxmlformats.org/officeDocument/2006/relationships/hyperlink" Target="http://bsdd.buildingsmart.org/" TargetMode="External"/><Relationship Id="rId234" Type="http://schemas.openxmlformats.org/officeDocument/2006/relationships/hyperlink" Target="http://bsdd.buildingsmart.org/" TargetMode="External"/><Relationship Id="rId637" Type="http://schemas.openxmlformats.org/officeDocument/2006/relationships/hyperlink" Target="http://bsdd.buildingsmart.org/" TargetMode="External"/><Relationship Id="rId679" Type="http://schemas.openxmlformats.org/officeDocument/2006/relationships/hyperlink" Target="http://bsdd.buildingsmart.org/" TargetMode="External"/><Relationship Id="rId802" Type="http://schemas.openxmlformats.org/officeDocument/2006/relationships/hyperlink" Target="http://bsdd.buildingsmart.org/" TargetMode="External"/><Relationship Id="rId2" Type="http://schemas.openxmlformats.org/officeDocument/2006/relationships/hyperlink" Target="http://bsdd.buildingsmart.org/" TargetMode="External"/><Relationship Id="rId29" Type="http://schemas.openxmlformats.org/officeDocument/2006/relationships/hyperlink" Target="http://bsdd.buildingsmart.org/" TargetMode="External"/><Relationship Id="rId276" Type="http://schemas.openxmlformats.org/officeDocument/2006/relationships/hyperlink" Target="http://bsdd.buildingsmart.org/" TargetMode="External"/><Relationship Id="rId441" Type="http://schemas.openxmlformats.org/officeDocument/2006/relationships/hyperlink" Target="http://bsdd.buildingsmart.org/" TargetMode="External"/><Relationship Id="rId483" Type="http://schemas.openxmlformats.org/officeDocument/2006/relationships/hyperlink" Target="http://bsdd.buildingsmart.org/" TargetMode="External"/><Relationship Id="rId539" Type="http://schemas.openxmlformats.org/officeDocument/2006/relationships/hyperlink" Target="http://bsdd.buildingsmart.org/" TargetMode="External"/><Relationship Id="rId690" Type="http://schemas.openxmlformats.org/officeDocument/2006/relationships/hyperlink" Target="http://bsdd.buildingsmart.org/" TargetMode="External"/><Relationship Id="rId704" Type="http://schemas.openxmlformats.org/officeDocument/2006/relationships/hyperlink" Target="http://bsdd.buildingsmart.org/" TargetMode="External"/><Relationship Id="rId746" Type="http://schemas.openxmlformats.org/officeDocument/2006/relationships/hyperlink" Target="http://bsdd.buildingsmart.org/" TargetMode="External"/><Relationship Id="rId40" Type="http://schemas.openxmlformats.org/officeDocument/2006/relationships/hyperlink" Target="http://bsdd.buildingsmart.org/" TargetMode="External"/><Relationship Id="rId136" Type="http://schemas.openxmlformats.org/officeDocument/2006/relationships/hyperlink" Target="http://bsdd.buildingsmart.org/" TargetMode="External"/><Relationship Id="rId178" Type="http://schemas.openxmlformats.org/officeDocument/2006/relationships/hyperlink" Target="http://www.buildingsmart-tech.org/ifc/IFC4/final/html/schema/ifcplumbingfireprotectiondomain/lexical/ifcstackterminal.htm" TargetMode="External"/><Relationship Id="rId301" Type="http://schemas.openxmlformats.org/officeDocument/2006/relationships/hyperlink" Target="http://bsdd.buildingsmart.org/" TargetMode="External"/><Relationship Id="rId343" Type="http://schemas.openxmlformats.org/officeDocument/2006/relationships/hyperlink" Target="http://bsdd.buildingsmart.org/" TargetMode="External"/><Relationship Id="rId550" Type="http://schemas.openxmlformats.org/officeDocument/2006/relationships/hyperlink" Target="http://bsdd.buildingsmart.org/" TargetMode="External"/><Relationship Id="rId788" Type="http://schemas.openxmlformats.org/officeDocument/2006/relationships/hyperlink" Target="http://bsdd.buildingsmart.org/" TargetMode="External"/><Relationship Id="rId82" Type="http://schemas.openxmlformats.org/officeDocument/2006/relationships/hyperlink" Target="http://bsdd.buildingsmart.org/" TargetMode="External"/><Relationship Id="rId203" Type="http://schemas.openxmlformats.org/officeDocument/2006/relationships/hyperlink" Target="http://bsdd.buildingsmart.org/" TargetMode="External"/><Relationship Id="rId385" Type="http://schemas.openxmlformats.org/officeDocument/2006/relationships/hyperlink" Target="http://bsdd.buildingsmart.org/" TargetMode="External"/><Relationship Id="rId592" Type="http://schemas.openxmlformats.org/officeDocument/2006/relationships/hyperlink" Target="http://bsdd.buildingsmart.org/" TargetMode="External"/><Relationship Id="rId606" Type="http://schemas.openxmlformats.org/officeDocument/2006/relationships/hyperlink" Target="http://bsdd.buildingsmart.org/" TargetMode="External"/><Relationship Id="rId648" Type="http://schemas.openxmlformats.org/officeDocument/2006/relationships/hyperlink" Target="http://bsdd.buildingsmart.org/" TargetMode="External"/><Relationship Id="rId813" Type="http://schemas.openxmlformats.org/officeDocument/2006/relationships/hyperlink" Target="http://bsdd.buildingsmart.org/" TargetMode="External"/><Relationship Id="rId245" Type="http://schemas.openxmlformats.org/officeDocument/2006/relationships/hyperlink" Target="http://bsdd.buildingsmart.org/" TargetMode="External"/><Relationship Id="rId287" Type="http://schemas.openxmlformats.org/officeDocument/2006/relationships/hyperlink" Target="http://bsdd.buildingsmart.org/" TargetMode="External"/><Relationship Id="rId410" Type="http://schemas.openxmlformats.org/officeDocument/2006/relationships/hyperlink" Target="http://bsdd.buildingsmart.org/" TargetMode="External"/><Relationship Id="rId452" Type="http://schemas.openxmlformats.org/officeDocument/2006/relationships/hyperlink" Target="http://bsdd.buildingsmart.org/" TargetMode="External"/><Relationship Id="rId494" Type="http://schemas.openxmlformats.org/officeDocument/2006/relationships/hyperlink" Target="http://bsdd.buildingsmart.org/" TargetMode="External"/><Relationship Id="rId508" Type="http://schemas.openxmlformats.org/officeDocument/2006/relationships/hyperlink" Target="http://bsdd.buildingsmart.org/" TargetMode="External"/><Relationship Id="rId715" Type="http://schemas.openxmlformats.org/officeDocument/2006/relationships/hyperlink" Target="http://bsdd.buildingsmart.org/" TargetMode="External"/><Relationship Id="rId105" Type="http://schemas.openxmlformats.org/officeDocument/2006/relationships/hyperlink" Target="http://bsdd.buildingsmart.org/" TargetMode="External"/><Relationship Id="rId147" Type="http://schemas.openxmlformats.org/officeDocument/2006/relationships/hyperlink" Target="http://bsdd.buildingsmart.org/" TargetMode="External"/><Relationship Id="rId312" Type="http://schemas.openxmlformats.org/officeDocument/2006/relationships/hyperlink" Target="http://bsdd.buildingsmart.org/" TargetMode="External"/><Relationship Id="rId354" Type="http://schemas.openxmlformats.org/officeDocument/2006/relationships/hyperlink" Target="http://bsdd.buildingsmart.org/" TargetMode="External"/><Relationship Id="rId757" Type="http://schemas.openxmlformats.org/officeDocument/2006/relationships/hyperlink" Target="http://bsdd.buildingsmart.org/" TargetMode="External"/><Relationship Id="rId799" Type="http://schemas.openxmlformats.org/officeDocument/2006/relationships/hyperlink" Target="http://bsdd.buildingsmart.org/" TargetMode="External"/><Relationship Id="rId51" Type="http://schemas.openxmlformats.org/officeDocument/2006/relationships/hyperlink" Target="http://bsdd.buildingsmart.org/" TargetMode="External"/><Relationship Id="rId93" Type="http://schemas.openxmlformats.org/officeDocument/2006/relationships/hyperlink" Target="http://bsdd.buildingsmart.org/" TargetMode="External"/><Relationship Id="rId189" Type="http://schemas.openxmlformats.org/officeDocument/2006/relationships/hyperlink" Target="http://bsdd.buildingsmart.org/" TargetMode="External"/><Relationship Id="rId396" Type="http://schemas.openxmlformats.org/officeDocument/2006/relationships/hyperlink" Target="http://bsdd.buildingsmart.org/" TargetMode="External"/><Relationship Id="rId561" Type="http://schemas.openxmlformats.org/officeDocument/2006/relationships/hyperlink" Target="http://bsdd.buildingsmart.org/" TargetMode="External"/><Relationship Id="rId617" Type="http://schemas.openxmlformats.org/officeDocument/2006/relationships/hyperlink" Target="http://bsdd.buildingsmart.org/" TargetMode="External"/><Relationship Id="rId659" Type="http://schemas.openxmlformats.org/officeDocument/2006/relationships/hyperlink" Target="http://bsdd.buildingsmart.org/" TargetMode="External"/><Relationship Id="rId824" Type="http://schemas.openxmlformats.org/officeDocument/2006/relationships/hyperlink" Target="http://bsdd.buildingsmart.org/" TargetMode="External"/><Relationship Id="rId214" Type="http://schemas.openxmlformats.org/officeDocument/2006/relationships/hyperlink" Target="http://bsdd.buildingsmart.org/" TargetMode="External"/><Relationship Id="rId256" Type="http://schemas.openxmlformats.org/officeDocument/2006/relationships/hyperlink" Target="http://bsdd.buildingsmart.org/" TargetMode="External"/><Relationship Id="rId298" Type="http://schemas.openxmlformats.org/officeDocument/2006/relationships/hyperlink" Target="http://bsdd.buildingsmart.org/" TargetMode="External"/><Relationship Id="rId421" Type="http://schemas.openxmlformats.org/officeDocument/2006/relationships/hyperlink" Target="http://bsdd.buildingsmart.org/" TargetMode="External"/><Relationship Id="rId463" Type="http://schemas.openxmlformats.org/officeDocument/2006/relationships/hyperlink" Target="http://bsdd.buildingsmart.org/" TargetMode="External"/><Relationship Id="rId519" Type="http://schemas.openxmlformats.org/officeDocument/2006/relationships/hyperlink" Target="http://bsdd.buildingsmart.org/" TargetMode="External"/><Relationship Id="rId670" Type="http://schemas.openxmlformats.org/officeDocument/2006/relationships/hyperlink" Target="http://bsdd.buildingsmart.org/" TargetMode="External"/><Relationship Id="rId116" Type="http://schemas.openxmlformats.org/officeDocument/2006/relationships/hyperlink" Target="http://bsdd.buildingsmart.org/" TargetMode="External"/><Relationship Id="rId158" Type="http://schemas.openxmlformats.org/officeDocument/2006/relationships/hyperlink" Target="http://bsdd.buildingsmart.org/" TargetMode="External"/><Relationship Id="rId323" Type="http://schemas.openxmlformats.org/officeDocument/2006/relationships/hyperlink" Target="http://bsdd.buildingsmart.org/" TargetMode="External"/><Relationship Id="rId530" Type="http://schemas.openxmlformats.org/officeDocument/2006/relationships/hyperlink" Target="http://bsdd.buildingsmart.org/" TargetMode="External"/><Relationship Id="rId726" Type="http://schemas.openxmlformats.org/officeDocument/2006/relationships/hyperlink" Target="http://bsdd.buildingsmart.org/" TargetMode="External"/><Relationship Id="rId768" Type="http://schemas.openxmlformats.org/officeDocument/2006/relationships/hyperlink" Target="http://bsdd.buildingsmart.org/" TargetMode="External"/><Relationship Id="rId20" Type="http://schemas.openxmlformats.org/officeDocument/2006/relationships/hyperlink" Target="http://bsdd.buildingsmart.org/" TargetMode="External"/><Relationship Id="rId62" Type="http://schemas.openxmlformats.org/officeDocument/2006/relationships/hyperlink" Target="http://bsdd.buildingsmart.org/" TargetMode="External"/><Relationship Id="rId365" Type="http://schemas.openxmlformats.org/officeDocument/2006/relationships/hyperlink" Target="http://bsdd.buildingsmart.org/" TargetMode="External"/><Relationship Id="rId572" Type="http://schemas.openxmlformats.org/officeDocument/2006/relationships/hyperlink" Target="http://bsdd.buildingsmart.org/" TargetMode="External"/><Relationship Id="rId628" Type="http://schemas.openxmlformats.org/officeDocument/2006/relationships/hyperlink" Target="http://bsdd.buildingsmart.org/" TargetMode="External"/><Relationship Id="rId835" Type="http://schemas.openxmlformats.org/officeDocument/2006/relationships/comments" Target="../comments1.xml"/><Relationship Id="rId225" Type="http://schemas.openxmlformats.org/officeDocument/2006/relationships/hyperlink" Target="http://bsdd.buildingsmart.org/" TargetMode="External"/><Relationship Id="rId267" Type="http://schemas.openxmlformats.org/officeDocument/2006/relationships/hyperlink" Target="http://bsdd.buildingsmart.org/" TargetMode="External"/><Relationship Id="rId432" Type="http://schemas.openxmlformats.org/officeDocument/2006/relationships/hyperlink" Target="http://bsdd.buildingsmart.org/" TargetMode="External"/><Relationship Id="rId474" Type="http://schemas.openxmlformats.org/officeDocument/2006/relationships/hyperlink" Target="http://bsdd.buildingsmart.org/" TargetMode="External"/><Relationship Id="rId127" Type="http://schemas.openxmlformats.org/officeDocument/2006/relationships/hyperlink" Target="http://bsdd.buildingsmart.org/" TargetMode="External"/><Relationship Id="rId681" Type="http://schemas.openxmlformats.org/officeDocument/2006/relationships/hyperlink" Target="http://bsdd.buildingsmart.org/" TargetMode="External"/><Relationship Id="rId737" Type="http://schemas.openxmlformats.org/officeDocument/2006/relationships/hyperlink" Target="http://bsdd.buildingsmart.org/" TargetMode="External"/><Relationship Id="rId779" Type="http://schemas.openxmlformats.org/officeDocument/2006/relationships/hyperlink" Target="http://bsdd.buildingsmart.org/" TargetMode="External"/><Relationship Id="rId31" Type="http://schemas.openxmlformats.org/officeDocument/2006/relationships/hyperlink" Target="http://bsdd.buildingsmart.org/" TargetMode="External"/><Relationship Id="rId73" Type="http://schemas.openxmlformats.org/officeDocument/2006/relationships/hyperlink" Target="http://bsdd.buildingsmart.org/" TargetMode="External"/><Relationship Id="rId169" Type="http://schemas.openxmlformats.org/officeDocument/2006/relationships/hyperlink" Target="http://bsdd.buildingsmart.org/" TargetMode="External"/><Relationship Id="rId334" Type="http://schemas.openxmlformats.org/officeDocument/2006/relationships/hyperlink" Target="http://bsdd.buildingsmart.org/" TargetMode="External"/><Relationship Id="rId376" Type="http://schemas.openxmlformats.org/officeDocument/2006/relationships/hyperlink" Target="http://bsdd.buildingsmart.org/" TargetMode="External"/><Relationship Id="rId541" Type="http://schemas.openxmlformats.org/officeDocument/2006/relationships/hyperlink" Target="http://bsdd.buildingsmart.org/" TargetMode="External"/><Relationship Id="rId583" Type="http://schemas.openxmlformats.org/officeDocument/2006/relationships/hyperlink" Target="http://bsdd.buildingsmart.org/" TargetMode="External"/><Relationship Id="rId639" Type="http://schemas.openxmlformats.org/officeDocument/2006/relationships/hyperlink" Target="http://bsdd.buildingsmart.org/" TargetMode="External"/><Relationship Id="rId790" Type="http://schemas.openxmlformats.org/officeDocument/2006/relationships/hyperlink" Target="http://bsdd.buildingsmart.org/" TargetMode="External"/><Relationship Id="rId804" Type="http://schemas.openxmlformats.org/officeDocument/2006/relationships/hyperlink" Target="http://bsdd.buildingsmart.org/" TargetMode="External"/><Relationship Id="rId4" Type="http://schemas.openxmlformats.org/officeDocument/2006/relationships/hyperlink" Target="http://bsdd.buildingsmart.org/" TargetMode="External"/><Relationship Id="rId180" Type="http://schemas.openxmlformats.org/officeDocument/2006/relationships/hyperlink" Target="http://bsdd.buildingsmart.org/" TargetMode="External"/><Relationship Id="rId236" Type="http://schemas.openxmlformats.org/officeDocument/2006/relationships/hyperlink" Target="http://bsdd.buildingsmart.org/" TargetMode="External"/><Relationship Id="rId278" Type="http://schemas.openxmlformats.org/officeDocument/2006/relationships/hyperlink" Target="http://bsdd.buildingsmart.org/" TargetMode="External"/><Relationship Id="rId401" Type="http://schemas.openxmlformats.org/officeDocument/2006/relationships/hyperlink" Target="http://bsdd.buildingsmart.org/" TargetMode="External"/><Relationship Id="rId443" Type="http://schemas.openxmlformats.org/officeDocument/2006/relationships/hyperlink" Target="http://bsdd.buildingsmart.org/" TargetMode="External"/><Relationship Id="rId650" Type="http://schemas.openxmlformats.org/officeDocument/2006/relationships/hyperlink" Target="http://bsdd.buildingsmart.org/" TargetMode="External"/><Relationship Id="rId303" Type="http://schemas.openxmlformats.org/officeDocument/2006/relationships/hyperlink" Target="http://bsdd.buildingsmart.org/" TargetMode="External"/><Relationship Id="rId485" Type="http://schemas.openxmlformats.org/officeDocument/2006/relationships/hyperlink" Target="http://bsdd.buildingsmart.org/" TargetMode="External"/><Relationship Id="rId692" Type="http://schemas.openxmlformats.org/officeDocument/2006/relationships/hyperlink" Target="http://bsdd.buildingsmart.org/" TargetMode="External"/><Relationship Id="rId706" Type="http://schemas.openxmlformats.org/officeDocument/2006/relationships/hyperlink" Target="http://bsdd.buildingsmart.org/" TargetMode="External"/><Relationship Id="rId748" Type="http://schemas.openxmlformats.org/officeDocument/2006/relationships/hyperlink" Target="http://bsdd.buildingsmart.org/" TargetMode="External"/><Relationship Id="rId42" Type="http://schemas.openxmlformats.org/officeDocument/2006/relationships/hyperlink" Target="http://bsdd.buildingsmart.org/" TargetMode="External"/><Relationship Id="rId84" Type="http://schemas.openxmlformats.org/officeDocument/2006/relationships/hyperlink" Target="http://bsdd.buildingsmart.org/" TargetMode="External"/><Relationship Id="rId138" Type="http://schemas.openxmlformats.org/officeDocument/2006/relationships/hyperlink" Target="http://bsdd.buildingsmart.org/" TargetMode="External"/><Relationship Id="rId345" Type="http://schemas.openxmlformats.org/officeDocument/2006/relationships/hyperlink" Target="http://bsdd.buildingsmart.org/" TargetMode="External"/><Relationship Id="rId387" Type="http://schemas.openxmlformats.org/officeDocument/2006/relationships/hyperlink" Target="http://bsdd.buildingsmart.org/" TargetMode="External"/><Relationship Id="rId510" Type="http://schemas.openxmlformats.org/officeDocument/2006/relationships/hyperlink" Target="http://bsdd.buildingsmart.org/" TargetMode="External"/><Relationship Id="rId552" Type="http://schemas.openxmlformats.org/officeDocument/2006/relationships/hyperlink" Target="http://bsdd.buildingsmart.org/" TargetMode="External"/><Relationship Id="rId594" Type="http://schemas.openxmlformats.org/officeDocument/2006/relationships/hyperlink" Target="http://bsdd.buildingsmart.org/" TargetMode="External"/><Relationship Id="rId608" Type="http://schemas.openxmlformats.org/officeDocument/2006/relationships/hyperlink" Target="http://bsdd.buildingsmart.org/" TargetMode="External"/><Relationship Id="rId815" Type="http://schemas.openxmlformats.org/officeDocument/2006/relationships/hyperlink" Target="http://bsdd.buildingsmart.org/" TargetMode="External"/><Relationship Id="rId191" Type="http://schemas.openxmlformats.org/officeDocument/2006/relationships/hyperlink" Target="http://bsdd.buildingsmart.org/" TargetMode="External"/><Relationship Id="rId205" Type="http://schemas.openxmlformats.org/officeDocument/2006/relationships/hyperlink" Target="http://bsdd.buildingsmart.org/" TargetMode="External"/><Relationship Id="rId247" Type="http://schemas.openxmlformats.org/officeDocument/2006/relationships/hyperlink" Target="http://bsdd.buildingsmart.org/" TargetMode="External"/><Relationship Id="rId412" Type="http://schemas.openxmlformats.org/officeDocument/2006/relationships/hyperlink" Target="http://bsdd.buildingsmart.org/" TargetMode="External"/><Relationship Id="rId107" Type="http://schemas.openxmlformats.org/officeDocument/2006/relationships/hyperlink" Target="http://bsdd.buildingsmart.org/" TargetMode="External"/><Relationship Id="rId289" Type="http://schemas.openxmlformats.org/officeDocument/2006/relationships/hyperlink" Target="http://bsdd.buildingsmart.org/" TargetMode="External"/><Relationship Id="rId454" Type="http://schemas.openxmlformats.org/officeDocument/2006/relationships/hyperlink" Target="http://bsdd.buildingsmart.org/" TargetMode="External"/><Relationship Id="rId496" Type="http://schemas.openxmlformats.org/officeDocument/2006/relationships/hyperlink" Target="http://bsdd.buildingsmart.org/" TargetMode="External"/><Relationship Id="rId661" Type="http://schemas.openxmlformats.org/officeDocument/2006/relationships/hyperlink" Target="http://bsdd.buildingsmart.org/" TargetMode="External"/><Relationship Id="rId717" Type="http://schemas.openxmlformats.org/officeDocument/2006/relationships/hyperlink" Target="http://bsdd.buildingsmart.org/" TargetMode="External"/><Relationship Id="rId759" Type="http://schemas.openxmlformats.org/officeDocument/2006/relationships/hyperlink" Target="http://bsdd.buildingsmart.org/" TargetMode="External"/><Relationship Id="rId11" Type="http://schemas.openxmlformats.org/officeDocument/2006/relationships/hyperlink" Target="http://bsdd.buildingsmart.org/" TargetMode="External"/><Relationship Id="rId53" Type="http://schemas.openxmlformats.org/officeDocument/2006/relationships/hyperlink" Target="http://bsdd.buildingsmart.org/" TargetMode="External"/><Relationship Id="rId149" Type="http://schemas.openxmlformats.org/officeDocument/2006/relationships/hyperlink" Target="http://www.buildingsmart-tech.org/ifc/IFC4/final/html/schema/ifcsharedcomponentelements/lexical/ifcdiscreteaccessorytype.htm" TargetMode="External"/><Relationship Id="rId314" Type="http://schemas.openxmlformats.org/officeDocument/2006/relationships/hyperlink" Target="http://bsdd.buildingsmart.org/" TargetMode="External"/><Relationship Id="rId356" Type="http://schemas.openxmlformats.org/officeDocument/2006/relationships/hyperlink" Target="http://bsdd.buildingsmart.org/" TargetMode="External"/><Relationship Id="rId398" Type="http://schemas.openxmlformats.org/officeDocument/2006/relationships/hyperlink" Target="http://bsdd.buildingsmart.org/" TargetMode="External"/><Relationship Id="rId521" Type="http://schemas.openxmlformats.org/officeDocument/2006/relationships/hyperlink" Target="http://bsdd.buildingsmart.org/" TargetMode="External"/><Relationship Id="rId563" Type="http://schemas.openxmlformats.org/officeDocument/2006/relationships/hyperlink" Target="http://bsdd.buildingsmart.org/" TargetMode="External"/><Relationship Id="rId619" Type="http://schemas.openxmlformats.org/officeDocument/2006/relationships/hyperlink" Target="http://bsdd.buildingsmart.org/" TargetMode="External"/><Relationship Id="rId770" Type="http://schemas.openxmlformats.org/officeDocument/2006/relationships/hyperlink" Target="http://bsdd.buildingsmart.org/" TargetMode="External"/><Relationship Id="rId95" Type="http://schemas.openxmlformats.org/officeDocument/2006/relationships/hyperlink" Target="http://bsdd.buildingsmart.org/" TargetMode="External"/><Relationship Id="rId160" Type="http://schemas.openxmlformats.org/officeDocument/2006/relationships/hyperlink" Target="http://bsdd.buildingsmart.org/" TargetMode="External"/><Relationship Id="rId216" Type="http://schemas.openxmlformats.org/officeDocument/2006/relationships/hyperlink" Target="http://bsdd.buildingsmart.org/" TargetMode="External"/><Relationship Id="rId423" Type="http://schemas.openxmlformats.org/officeDocument/2006/relationships/hyperlink" Target="http://bsdd.buildingsmart.org/" TargetMode="External"/><Relationship Id="rId826" Type="http://schemas.openxmlformats.org/officeDocument/2006/relationships/hyperlink" Target="http://bsdd.buildingsmart.org/" TargetMode="External"/><Relationship Id="rId258" Type="http://schemas.openxmlformats.org/officeDocument/2006/relationships/hyperlink" Target="http://bsdd.buildingsmart.org/" TargetMode="External"/><Relationship Id="rId465" Type="http://schemas.openxmlformats.org/officeDocument/2006/relationships/hyperlink" Target="http://bsdd.buildingsmart.org/" TargetMode="External"/><Relationship Id="rId630" Type="http://schemas.openxmlformats.org/officeDocument/2006/relationships/hyperlink" Target="http://bsdd.buildingsmart.org/" TargetMode="External"/><Relationship Id="rId672" Type="http://schemas.openxmlformats.org/officeDocument/2006/relationships/hyperlink" Target="http://bsdd.buildingsmart.org/" TargetMode="External"/><Relationship Id="rId728" Type="http://schemas.openxmlformats.org/officeDocument/2006/relationships/hyperlink" Target="http://bsdd.buildingsmart.org/" TargetMode="External"/><Relationship Id="rId22" Type="http://schemas.openxmlformats.org/officeDocument/2006/relationships/hyperlink" Target="http://bsdd.buildingsmart.org/" TargetMode="External"/><Relationship Id="rId64" Type="http://schemas.openxmlformats.org/officeDocument/2006/relationships/hyperlink" Target="http://bsdd.buildingsmart.org/" TargetMode="External"/><Relationship Id="rId118" Type="http://schemas.openxmlformats.org/officeDocument/2006/relationships/hyperlink" Target="http://bsdd.buildingsmart.org/" TargetMode="External"/><Relationship Id="rId325" Type="http://schemas.openxmlformats.org/officeDocument/2006/relationships/hyperlink" Target="http://bsdd.buildingsmart.org/" TargetMode="External"/><Relationship Id="rId367" Type="http://schemas.openxmlformats.org/officeDocument/2006/relationships/hyperlink" Target="http://bsdd.buildingsmart.org/" TargetMode="External"/><Relationship Id="rId532" Type="http://schemas.openxmlformats.org/officeDocument/2006/relationships/hyperlink" Target="http://bsdd.buildingsmart.org/" TargetMode="External"/><Relationship Id="rId574" Type="http://schemas.openxmlformats.org/officeDocument/2006/relationships/hyperlink" Target="http://bsdd.buildingsmart.org/" TargetMode="External"/><Relationship Id="rId171" Type="http://schemas.openxmlformats.org/officeDocument/2006/relationships/hyperlink" Target="http://bsdd.buildingsmart.org/" TargetMode="External"/><Relationship Id="rId227" Type="http://schemas.openxmlformats.org/officeDocument/2006/relationships/hyperlink" Target="http://bsdd.buildingsmart.org/" TargetMode="External"/><Relationship Id="rId781" Type="http://schemas.openxmlformats.org/officeDocument/2006/relationships/hyperlink" Target="http://bsdd.buildingsmart.org/" TargetMode="External"/><Relationship Id="rId269" Type="http://schemas.openxmlformats.org/officeDocument/2006/relationships/hyperlink" Target="http://bsdd.buildingsmart.org/" TargetMode="External"/><Relationship Id="rId434" Type="http://schemas.openxmlformats.org/officeDocument/2006/relationships/hyperlink" Target="http://bsdd.buildingsmart.org/" TargetMode="External"/><Relationship Id="rId476" Type="http://schemas.openxmlformats.org/officeDocument/2006/relationships/hyperlink" Target="http://bsdd.buildingsmart.org/" TargetMode="External"/><Relationship Id="rId641" Type="http://schemas.openxmlformats.org/officeDocument/2006/relationships/hyperlink" Target="http://bsdd.buildingsmart.org/" TargetMode="External"/><Relationship Id="rId683" Type="http://schemas.openxmlformats.org/officeDocument/2006/relationships/hyperlink" Target="http://bsdd.buildingsmart.org/" TargetMode="External"/><Relationship Id="rId739" Type="http://schemas.openxmlformats.org/officeDocument/2006/relationships/hyperlink" Target="http://bsdd.buildingsmart.org/" TargetMode="External"/><Relationship Id="rId33" Type="http://schemas.openxmlformats.org/officeDocument/2006/relationships/hyperlink" Target="http://bsdd.buildingsmart.org/" TargetMode="External"/><Relationship Id="rId129" Type="http://schemas.openxmlformats.org/officeDocument/2006/relationships/hyperlink" Target="http://bsdd.buildingsmart.org/" TargetMode="External"/><Relationship Id="rId280" Type="http://schemas.openxmlformats.org/officeDocument/2006/relationships/hyperlink" Target="http://bsdd.buildingsmart.org/" TargetMode="External"/><Relationship Id="rId336" Type="http://schemas.openxmlformats.org/officeDocument/2006/relationships/hyperlink" Target="http://bsdd.buildingsmart.org/" TargetMode="External"/><Relationship Id="rId501" Type="http://schemas.openxmlformats.org/officeDocument/2006/relationships/hyperlink" Target="http://bsdd.buildingsmart.org/" TargetMode="External"/><Relationship Id="rId543" Type="http://schemas.openxmlformats.org/officeDocument/2006/relationships/hyperlink" Target="http://bsdd.buildingsmart.org/" TargetMode="External"/><Relationship Id="rId75" Type="http://schemas.openxmlformats.org/officeDocument/2006/relationships/hyperlink" Target="http://bsdd.buildingsmart.org/" TargetMode="External"/><Relationship Id="rId140" Type="http://schemas.openxmlformats.org/officeDocument/2006/relationships/hyperlink" Target="http://bsdd.buildingsmart.org/" TargetMode="External"/><Relationship Id="rId182" Type="http://schemas.openxmlformats.org/officeDocument/2006/relationships/hyperlink" Target="http://bsdd.buildingsmart.org/" TargetMode="External"/><Relationship Id="rId378" Type="http://schemas.openxmlformats.org/officeDocument/2006/relationships/hyperlink" Target="http://bsdd.buildingsmart.org/" TargetMode="External"/><Relationship Id="rId403" Type="http://schemas.openxmlformats.org/officeDocument/2006/relationships/hyperlink" Target="http://bsdd.buildingsmart.org/" TargetMode="External"/><Relationship Id="rId585" Type="http://schemas.openxmlformats.org/officeDocument/2006/relationships/hyperlink" Target="http://bsdd.buildingsmart.org/" TargetMode="External"/><Relationship Id="rId750" Type="http://schemas.openxmlformats.org/officeDocument/2006/relationships/hyperlink" Target="http://bsdd.buildingsmart.org/" TargetMode="External"/><Relationship Id="rId792" Type="http://schemas.openxmlformats.org/officeDocument/2006/relationships/hyperlink" Target="http://bsdd.buildingsmart.org/" TargetMode="External"/><Relationship Id="rId806" Type="http://schemas.openxmlformats.org/officeDocument/2006/relationships/hyperlink" Target="http://bsdd.buildingsmart.org/" TargetMode="External"/><Relationship Id="rId6" Type="http://schemas.openxmlformats.org/officeDocument/2006/relationships/hyperlink" Target="http://bsdd.buildingsmart.org/" TargetMode="External"/><Relationship Id="rId238" Type="http://schemas.openxmlformats.org/officeDocument/2006/relationships/hyperlink" Target="http://bsdd.buildingsmart.org/" TargetMode="External"/><Relationship Id="rId445" Type="http://schemas.openxmlformats.org/officeDocument/2006/relationships/hyperlink" Target="http://bsdd.buildingsmart.org/" TargetMode="External"/><Relationship Id="rId487" Type="http://schemas.openxmlformats.org/officeDocument/2006/relationships/hyperlink" Target="http://bsdd.buildingsmart.org/" TargetMode="External"/><Relationship Id="rId610" Type="http://schemas.openxmlformats.org/officeDocument/2006/relationships/hyperlink" Target="http://bsdd.buildingsmart.org/" TargetMode="External"/><Relationship Id="rId652" Type="http://schemas.openxmlformats.org/officeDocument/2006/relationships/hyperlink" Target="http://bsdd.buildingsmart.org/" TargetMode="External"/><Relationship Id="rId694" Type="http://schemas.openxmlformats.org/officeDocument/2006/relationships/hyperlink" Target="http://bsdd.buildingsmart.org/" TargetMode="External"/><Relationship Id="rId708" Type="http://schemas.openxmlformats.org/officeDocument/2006/relationships/hyperlink" Target="http://bsdd.buildingsmart.org/" TargetMode="External"/><Relationship Id="rId291" Type="http://schemas.openxmlformats.org/officeDocument/2006/relationships/hyperlink" Target="http://bsdd.buildingsmart.org/" TargetMode="External"/><Relationship Id="rId305" Type="http://schemas.openxmlformats.org/officeDocument/2006/relationships/hyperlink" Target="http://bsdd.buildingsmart.org/" TargetMode="External"/><Relationship Id="rId347" Type="http://schemas.openxmlformats.org/officeDocument/2006/relationships/hyperlink" Target="http://bsdd.buildingsmart.org/" TargetMode="External"/><Relationship Id="rId512" Type="http://schemas.openxmlformats.org/officeDocument/2006/relationships/hyperlink" Target="http://bsdd.buildingsmart.org/" TargetMode="External"/><Relationship Id="rId44" Type="http://schemas.openxmlformats.org/officeDocument/2006/relationships/hyperlink" Target="http://bsdd.buildingsmart.org/" TargetMode="External"/><Relationship Id="rId86" Type="http://schemas.openxmlformats.org/officeDocument/2006/relationships/hyperlink" Target="http://bsdd.buildingsmart.org/" TargetMode="External"/><Relationship Id="rId151" Type="http://schemas.openxmlformats.org/officeDocument/2006/relationships/hyperlink" Target="http://bsdd.buildingsmart.org/" TargetMode="External"/><Relationship Id="rId389" Type="http://schemas.openxmlformats.org/officeDocument/2006/relationships/hyperlink" Target="http://bsdd.buildingsmart.org/" TargetMode="External"/><Relationship Id="rId554" Type="http://schemas.openxmlformats.org/officeDocument/2006/relationships/hyperlink" Target="http://bsdd.buildingsmart.org/" TargetMode="External"/><Relationship Id="rId596" Type="http://schemas.openxmlformats.org/officeDocument/2006/relationships/hyperlink" Target="http://bsdd.buildingsmart.org/" TargetMode="External"/><Relationship Id="rId761" Type="http://schemas.openxmlformats.org/officeDocument/2006/relationships/hyperlink" Target="http://bsdd.buildingsmart.org/" TargetMode="External"/><Relationship Id="rId817" Type="http://schemas.openxmlformats.org/officeDocument/2006/relationships/hyperlink" Target="http://bsdd.buildingsmart.org/" TargetMode="External"/><Relationship Id="rId193" Type="http://schemas.openxmlformats.org/officeDocument/2006/relationships/hyperlink" Target="http://bsdd.buildingsmart.org/" TargetMode="External"/><Relationship Id="rId207" Type="http://schemas.openxmlformats.org/officeDocument/2006/relationships/hyperlink" Target="http://bsdd.buildingsmart.org/" TargetMode="External"/><Relationship Id="rId249" Type="http://schemas.openxmlformats.org/officeDocument/2006/relationships/hyperlink" Target="http://bsdd.buildingsmart.org/" TargetMode="External"/><Relationship Id="rId414" Type="http://schemas.openxmlformats.org/officeDocument/2006/relationships/hyperlink" Target="http://bsdd.buildingsmart.org/" TargetMode="External"/><Relationship Id="rId456" Type="http://schemas.openxmlformats.org/officeDocument/2006/relationships/hyperlink" Target="http://bsdd.buildingsmart.org/" TargetMode="External"/><Relationship Id="rId498" Type="http://schemas.openxmlformats.org/officeDocument/2006/relationships/hyperlink" Target="http://bsdd.buildingsmart.org/" TargetMode="External"/><Relationship Id="rId621" Type="http://schemas.openxmlformats.org/officeDocument/2006/relationships/hyperlink" Target="http://bsdd.buildingsmart.org/" TargetMode="External"/><Relationship Id="rId663" Type="http://schemas.openxmlformats.org/officeDocument/2006/relationships/hyperlink" Target="http://bsdd.buildingsmart.org/" TargetMode="External"/><Relationship Id="rId13" Type="http://schemas.openxmlformats.org/officeDocument/2006/relationships/hyperlink" Target="http://bsdd.buildingsmart.org/" TargetMode="External"/><Relationship Id="rId109" Type="http://schemas.openxmlformats.org/officeDocument/2006/relationships/hyperlink" Target="http://bsdd.buildingsmart.org/" TargetMode="External"/><Relationship Id="rId260" Type="http://schemas.openxmlformats.org/officeDocument/2006/relationships/hyperlink" Target="http://bsdd.buildingsmart.org/" TargetMode="External"/><Relationship Id="rId316" Type="http://schemas.openxmlformats.org/officeDocument/2006/relationships/hyperlink" Target="http://bsdd.buildingsmart.org/" TargetMode="External"/><Relationship Id="rId523" Type="http://schemas.openxmlformats.org/officeDocument/2006/relationships/hyperlink" Target="http://bsdd.buildingsmart.org/" TargetMode="External"/><Relationship Id="rId719" Type="http://schemas.openxmlformats.org/officeDocument/2006/relationships/hyperlink" Target="http://bsdd.buildingsmart.org/" TargetMode="External"/><Relationship Id="rId55" Type="http://schemas.openxmlformats.org/officeDocument/2006/relationships/hyperlink" Target="http://bsdd.buildingsmart.org/" TargetMode="External"/><Relationship Id="rId97" Type="http://schemas.openxmlformats.org/officeDocument/2006/relationships/hyperlink" Target="http://bsdd.buildingsmart.org/" TargetMode="External"/><Relationship Id="rId120" Type="http://schemas.openxmlformats.org/officeDocument/2006/relationships/hyperlink" Target="http://bsdd.buildingsmart.org/" TargetMode="External"/><Relationship Id="rId358" Type="http://schemas.openxmlformats.org/officeDocument/2006/relationships/hyperlink" Target="http://bsdd.buildingsmart.org/" TargetMode="External"/><Relationship Id="rId565" Type="http://schemas.openxmlformats.org/officeDocument/2006/relationships/hyperlink" Target="http://bsdd.buildingsmart.org/" TargetMode="External"/><Relationship Id="rId730" Type="http://schemas.openxmlformats.org/officeDocument/2006/relationships/hyperlink" Target="http://bsdd.buildingsmart.org/" TargetMode="External"/><Relationship Id="rId772" Type="http://schemas.openxmlformats.org/officeDocument/2006/relationships/hyperlink" Target="http://bsdd.buildingsmart.org/" TargetMode="External"/><Relationship Id="rId828" Type="http://schemas.openxmlformats.org/officeDocument/2006/relationships/hyperlink" Target="http://bsdd.buildingsmart.org/" TargetMode="External"/><Relationship Id="rId162" Type="http://schemas.openxmlformats.org/officeDocument/2006/relationships/hyperlink" Target="http://bsdd.buildingsmart.org/" TargetMode="External"/><Relationship Id="rId218" Type="http://schemas.openxmlformats.org/officeDocument/2006/relationships/hyperlink" Target="http://bsdd.buildingsmart.org/" TargetMode="External"/><Relationship Id="rId425" Type="http://schemas.openxmlformats.org/officeDocument/2006/relationships/hyperlink" Target="http://bsdd.buildingsmart.org/" TargetMode="External"/><Relationship Id="rId467" Type="http://schemas.openxmlformats.org/officeDocument/2006/relationships/hyperlink" Target="http://bsdd.buildingsmart.org/" TargetMode="External"/><Relationship Id="rId632" Type="http://schemas.openxmlformats.org/officeDocument/2006/relationships/hyperlink" Target="http://bsdd.buildingsmart.org/" TargetMode="External"/><Relationship Id="rId271" Type="http://schemas.openxmlformats.org/officeDocument/2006/relationships/hyperlink" Target="http://bsdd.buildingsmart.org/" TargetMode="External"/><Relationship Id="rId674" Type="http://schemas.openxmlformats.org/officeDocument/2006/relationships/hyperlink" Target="http://bsdd.buildingsmart.org/" TargetMode="External"/><Relationship Id="rId24" Type="http://schemas.openxmlformats.org/officeDocument/2006/relationships/hyperlink" Target="http://bsdd.buildingsmart.org/" TargetMode="External"/><Relationship Id="rId66" Type="http://schemas.openxmlformats.org/officeDocument/2006/relationships/hyperlink" Target="http://bsdd.buildingsmart.org/" TargetMode="External"/><Relationship Id="rId131" Type="http://schemas.openxmlformats.org/officeDocument/2006/relationships/hyperlink" Target="http://bsdd.buildingsmart.org/" TargetMode="External"/><Relationship Id="rId327" Type="http://schemas.openxmlformats.org/officeDocument/2006/relationships/hyperlink" Target="http://bsdd.buildingsmart.org/" TargetMode="External"/><Relationship Id="rId369" Type="http://schemas.openxmlformats.org/officeDocument/2006/relationships/hyperlink" Target="http://bsdd.buildingsmart.org/" TargetMode="External"/><Relationship Id="rId534" Type="http://schemas.openxmlformats.org/officeDocument/2006/relationships/hyperlink" Target="http://bsdd.buildingsmart.org/" TargetMode="External"/><Relationship Id="rId576" Type="http://schemas.openxmlformats.org/officeDocument/2006/relationships/hyperlink" Target="http://bsdd.buildingsmart.org/" TargetMode="External"/><Relationship Id="rId741" Type="http://schemas.openxmlformats.org/officeDocument/2006/relationships/hyperlink" Target="http://bsdd.buildingsmart.org/" TargetMode="External"/><Relationship Id="rId783" Type="http://schemas.openxmlformats.org/officeDocument/2006/relationships/hyperlink" Target="http://bsdd.buildingsmart.org/" TargetMode="External"/><Relationship Id="rId173" Type="http://schemas.openxmlformats.org/officeDocument/2006/relationships/hyperlink" Target="http://bsdd.buildingsmart.org/" TargetMode="External"/><Relationship Id="rId229" Type="http://schemas.openxmlformats.org/officeDocument/2006/relationships/hyperlink" Target="http://bsdd.buildingsmart.org/" TargetMode="External"/><Relationship Id="rId380" Type="http://schemas.openxmlformats.org/officeDocument/2006/relationships/hyperlink" Target="http://bsdd.buildingsmart.org/" TargetMode="External"/><Relationship Id="rId436" Type="http://schemas.openxmlformats.org/officeDocument/2006/relationships/hyperlink" Target="http://bsdd.buildingsmart.org/" TargetMode="External"/><Relationship Id="rId601" Type="http://schemas.openxmlformats.org/officeDocument/2006/relationships/hyperlink" Target="http://bsdd.buildingsmart.org/" TargetMode="External"/><Relationship Id="rId643" Type="http://schemas.openxmlformats.org/officeDocument/2006/relationships/hyperlink" Target="http://bsdd.buildingsmart.org/" TargetMode="External"/><Relationship Id="rId240" Type="http://schemas.openxmlformats.org/officeDocument/2006/relationships/hyperlink" Target="http://bsdd.buildingsmart.org/" TargetMode="External"/><Relationship Id="rId478" Type="http://schemas.openxmlformats.org/officeDocument/2006/relationships/hyperlink" Target="http://bsdd.buildingsmart.org/" TargetMode="External"/><Relationship Id="rId685" Type="http://schemas.openxmlformats.org/officeDocument/2006/relationships/hyperlink" Target="http://bsdd.buildingsmart.org/" TargetMode="External"/><Relationship Id="rId35" Type="http://schemas.openxmlformats.org/officeDocument/2006/relationships/hyperlink" Target="http://bsdd.buildingsmart.org/" TargetMode="External"/><Relationship Id="rId77" Type="http://schemas.openxmlformats.org/officeDocument/2006/relationships/hyperlink" Target="http://bsdd.buildingsmart.org/" TargetMode="External"/><Relationship Id="rId100" Type="http://schemas.openxmlformats.org/officeDocument/2006/relationships/hyperlink" Target="http://bsdd.buildingsmart.org/" TargetMode="External"/><Relationship Id="rId282" Type="http://schemas.openxmlformats.org/officeDocument/2006/relationships/hyperlink" Target="http://bsdd.buildingsmart.org/" TargetMode="External"/><Relationship Id="rId338" Type="http://schemas.openxmlformats.org/officeDocument/2006/relationships/hyperlink" Target="http://bsdd.buildingsmart.org/" TargetMode="External"/><Relationship Id="rId503" Type="http://schemas.openxmlformats.org/officeDocument/2006/relationships/hyperlink" Target="http://bsdd.buildingsmart.org/" TargetMode="External"/><Relationship Id="rId545" Type="http://schemas.openxmlformats.org/officeDocument/2006/relationships/hyperlink" Target="http://bsdd.buildingsmart.org/" TargetMode="External"/><Relationship Id="rId587" Type="http://schemas.openxmlformats.org/officeDocument/2006/relationships/hyperlink" Target="http://bsdd.buildingsmart.org/" TargetMode="External"/><Relationship Id="rId710" Type="http://schemas.openxmlformats.org/officeDocument/2006/relationships/hyperlink" Target="http://bsdd.buildingsmart.org/" TargetMode="External"/><Relationship Id="rId752" Type="http://schemas.openxmlformats.org/officeDocument/2006/relationships/hyperlink" Target="http://bsdd.buildingsmart.org/" TargetMode="External"/><Relationship Id="rId808" Type="http://schemas.openxmlformats.org/officeDocument/2006/relationships/hyperlink" Target="http://bsdd.buildingsmart.org/" TargetMode="External"/><Relationship Id="rId8" Type="http://schemas.openxmlformats.org/officeDocument/2006/relationships/hyperlink" Target="http://bsdd.buildingsmart.org/" TargetMode="External"/><Relationship Id="rId142" Type="http://schemas.openxmlformats.org/officeDocument/2006/relationships/hyperlink" Target="http://bsdd.buildingsmart.org/" TargetMode="External"/><Relationship Id="rId184" Type="http://schemas.openxmlformats.org/officeDocument/2006/relationships/hyperlink" Target="http://bsdd.buildingsmart.org/" TargetMode="External"/><Relationship Id="rId391" Type="http://schemas.openxmlformats.org/officeDocument/2006/relationships/hyperlink" Target="http://bsdd.buildingsmart.org/" TargetMode="External"/><Relationship Id="rId405" Type="http://schemas.openxmlformats.org/officeDocument/2006/relationships/hyperlink" Target="http://bsdd.buildingsmart.org/" TargetMode="External"/><Relationship Id="rId447" Type="http://schemas.openxmlformats.org/officeDocument/2006/relationships/hyperlink" Target="http://bsdd.buildingsmart.org/" TargetMode="External"/><Relationship Id="rId612" Type="http://schemas.openxmlformats.org/officeDocument/2006/relationships/hyperlink" Target="http://bsdd.buildingsmart.org/" TargetMode="External"/><Relationship Id="rId794" Type="http://schemas.openxmlformats.org/officeDocument/2006/relationships/hyperlink" Target="http://bsdd.buildingsmart.org/" TargetMode="External"/><Relationship Id="rId251" Type="http://schemas.openxmlformats.org/officeDocument/2006/relationships/hyperlink" Target="http://bsdd.buildingsmart.org/" TargetMode="External"/><Relationship Id="rId489" Type="http://schemas.openxmlformats.org/officeDocument/2006/relationships/hyperlink" Target="http://bsdd.buildingsmart.org/" TargetMode="External"/><Relationship Id="rId654" Type="http://schemas.openxmlformats.org/officeDocument/2006/relationships/hyperlink" Target="http://bsdd.buildingsmart.org/" TargetMode="External"/><Relationship Id="rId696" Type="http://schemas.openxmlformats.org/officeDocument/2006/relationships/hyperlink" Target="http://bsdd.buildingsmart.org/" TargetMode="External"/><Relationship Id="rId46" Type="http://schemas.openxmlformats.org/officeDocument/2006/relationships/hyperlink" Target="http://bsdd.buildingsmart.org/" TargetMode="External"/><Relationship Id="rId293" Type="http://schemas.openxmlformats.org/officeDocument/2006/relationships/hyperlink" Target="http://bsdd.buildingsmart.org/" TargetMode="External"/><Relationship Id="rId307" Type="http://schemas.openxmlformats.org/officeDocument/2006/relationships/hyperlink" Target="http://bsdd.buildingsmart.org/" TargetMode="External"/><Relationship Id="rId349" Type="http://schemas.openxmlformats.org/officeDocument/2006/relationships/hyperlink" Target="http://bsdd.buildingsmart.org/" TargetMode="External"/><Relationship Id="rId514" Type="http://schemas.openxmlformats.org/officeDocument/2006/relationships/hyperlink" Target="http://bsdd.buildingsmart.org/" TargetMode="External"/><Relationship Id="rId556" Type="http://schemas.openxmlformats.org/officeDocument/2006/relationships/hyperlink" Target="http://bsdd.buildingsmart.org/" TargetMode="External"/><Relationship Id="rId721" Type="http://schemas.openxmlformats.org/officeDocument/2006/relationships/hyperlink" Target="http://bsdd.buildingsmart.org/" TargetMode="External"/><Relationship Id="rId763" Type="http://schemas.openxmlformats.org/officeDocument/2006/relationships/hyperlink" Target="http://bsdd.buildingsmart.org/" TargetMode="External"/><Relationship Id="rId88" Type="http://schemas.openxmlformats.org/officeDocument/2006/relationships/hyperlink" Target="http://bsdd.buildingsmart.org/" TargetMode="External"/><Relationship Id="rId111" Type="http://schemas.openxmlformats.org/officeDocument/2006/relationships/hyperlink" Target="http://bsdd.buildingsmart.org/" TargetMode="External"/><Relationship Id="rId153" Type="http://schemas.openxmlformats.org/officeDocument/2006/relationships/hyperlink" Target="http://bsdd.buildingsmart.org/" TargetMode="External"/><Relationship Id="rId195" Type="http://schemas.openxmlformats.org/officeDocument/2006/relationships/hyperlink" Target="http://bsdd.buildingsmart.org/" TargetMode="External"/><Relationship Id="rId209" Type="http://schemas.openxmlformats.org/officeDocument/2006/relationships/hyperlink" Target="http://bsdd.buildingsmart.org/" TargetMode="External"/><Relationship Id="rId360" Type="http://schemas.openxmlformats.org/officeDocument/2006/relationships/hyperlink" Target="http://bsdd.buildingsmart.org/" TargetMode="External"/><Relationship Id="rId416" Type="http://schemas.openxmlformats.org/officeDocument/2006/relationships/hyperlink" Target="http://bsdd.buildingsmart.org/" TargetMode="External"/><Relationship Id="rId598" Type="http://schemas.openxmlformats.org/officeDocument/2006/relationships/hyperlink" Target="http://bsdd.buildingsmart.org/" TargetMode="External"/><Relationship Id="rId819" Type="http://schemas.openxmlformats.org/officeDocument/2006/relationships/hyperlink" Target="http://bsdd.buildingsmart.org/" TargetMode="External"/><Relationship Id="rId220" Type="http://schemas.openxmlformats.org/officeDocument/2006/relationships/hyperlink" Target="http://bsdd.buildingsmart.org/" TargetMode="External"/><Relationship Id="rId458" Type="http://schemas.openxmlformats.org/officeDocument/2006/relationships/hyperlink" Target="http://bsdd.buildingsmart.org/" TargetMode="External"/><Relationship Id="rId623" Type="http://schemas.openxmlformats.org/officeDocument/2006/relationships/hyperlink" Target="http://bsdd.buildingsmart.org/" TargetMode="External"/><Relationship Id="rId665" Type="http://schemas.openxmlformats.org/officeDocument/2006/relationships/hyperlink" Target="http://bsdd.buildingsmart.org/" TargetMode="External"/><Relationship Id="rId830" Type="http://schemas.openxmlformats.org/officeDocument/2006/relationships/hyperlink" Target="http://bsdd.buildingsmart.org/" TargetMode="External"/><Relationship Id="rId15" Type="http://schemas.openxmlformats.org/officeDocument/2006/relationships/hyperlink" Target="http://bsdd.buildingsmart.org/" TargetMode="External"/><Relationship Id="rId57" Type="http://schemas.openxmlformats.org/officeDocument/2006/relationships/hyperlink" Target="http://bsdd.buildingsmart.org/" TargetMode="External"/><Relationship Id="rId262" Type="http://schemas.openxmlformats.org/officeDocument/2006/relationships/hyperlink" Target="http://bsdd.buildingsmart.org/" TargetMode="External"/><Relationship Id="rId318" Type="http://schemas.openxmlformats.org/officeDocument/2006/relationships/hyperlink" Target="http://bsdd.buildingsmart.org/" TargetMode="External"/><Relationship Id="rId525" Type="http://schemas.openxmlformats.org/officeDocument/2006/relationships/hyperlink" Target="http://bsdd.buildingsmart.org/" TargetMode="External"/><Relationship Id="rId567" Type="http://schemas.openxmlformats.org/officeDocument/2006/relationships/hyperlink" Target="http://bsdd.buildingsmart.org/" TargetMode="External"/><Relationship Id="rId732" Type="http://schemas.openxmlformats.org/officeDocument/2006/relationships/hyperlink" Target="http://bsdd.buildingsmart.org/" TargetMode="External"/><Relationship Id="rId99" Type="http://schemas.openxmlformats.org/officeDocument/2006/relationships/hyperlink" Target="http://bsdd.buildingsmart.org/" TargetMode="External"/><Relationship Id="rId122" Type="http://schemas.openxmlformats.org/officeDocument/2006/relationships/hyperlink" Target="http://bsdd.buildingsmart.org/" TargetMode="External"/><Relationship Id="rId164" Type="http://schemas.openxmlformats.org/officeDocument/2006/relationships/hyperlink" Target="http://bsdd.buildingsmart.org/" TargetMode="External"/><Relationship Id="rId371" Type="http://schemas.openxmlformats.org/officeDocument/2006/relationships/hyperlink" Target="http://bsdd.buildingsmart.org/" TargetMode="External"/><Relationship Id="rId774" Type="http://schemas.openxmlformats.org/officeDocument/2006/relationships/hyperlink" Target="http://bsdd.buildingsmart.org/" TargetMode="External"/><Relationship Id="rId427" Type="http://schemas.openxmlformats.org/officeDocument/2006/relationships/hyperlink" Target="http://bsdd.buildingsmart.org/" TargetMode="External"/><Relationship Id="rId469" Type="http://schemas.openxmlformats.org/officeDocument/2006/relationships/hyperlink" Target="http://bsdd.buildingsmart.org/" TargetMode="External"/><Relationship Id="rId634" Type="http://schemas.openxmlformats.org/officeDocument/2006/relationships/hyperlink" Target="http://bsdd.buildingsmart.org/" TargetMode="External"/><Relationship Id="rId676" Type="http://schemas.openxmlformats.org/officeDocument/2006/relationships/hyperlink" Target="http://bsdd.buildingsmart.org/" TargetMode="External"/><Relationship Id="rId26" Type="http://schemas.openxmlformats.org/officeDocument/2006/relationships/hyperlink" Target="http://bsdd.buildingsmart.org/" TargetMode="External"/><Relationship Id="rId231" Type="http://schemas.openxmlformats.org/officeDocument/2006/relationships/hyperlink" Target="http://bsdd.buildingsmart.org/" TargetMode="External"/><Relationship Id="rId273" Type="http://schemas.openxmlformats.org/officeDocument/2006/relationships/hyperlink" Target="http://bsdd.buildingsmart.org/" TargetMode="External"/><Relationship Id="rId329" Type="http://schemas.openxmlformats.org/officeDocument/2006/relationships/hyperlink" Target="http://bsdd.buildingsmart.org/" TargetMode="External"/><Relationship Id="rId480" Type="http://schemas.openxmlformats.org/officeDocument/2006/relationships/hyperlink" Target="http://bsdd.buildingsmart.org/" TargetMode="External"/><Relationship Id="rId536" Type="http://schemas.openxmlformats.org/officeDocument/2006/relationships/hyperlink" Target="http://bsdd.buildingsmart.org/" TargetMode="External"/><Relationship Id="rId701" Type="http://schemas.openxmlformats.org/officeDocument/2006/relationships/hyperlink" Target="http://bsdd.buildingsmart.org/" TargetMode="External"/><Relationship Id="rId68" Type="http://schemas.openxmlformats.org/officeDocument/2006/relationships/hyperlink" Target="http://bsdd.buildingsmart.org/" TargetMode="External"/><Relationship Id="rId133" Type="http://schemas.openxmlformats.org/officeDocument/2006/relationships/hyperlink" Target="http://bsdd.buildingsmart.org/" TargetMode="External"/><Relationship Id="rId175" Type="http://schemas.openxmlformats.org/officeDocument/2006/relationships/hyperlink" Target="http://bsdd.buildingsmart.org/" TargetMode="External"/><Relationship Id="rId340" Type="http://schemas.openxmlformats.org/officeDocument/2006/relationships/hyperlink" Target="http://bsdd.buildingsmart.org/" TargetMode="External"/><Relationship Id="rId578" Type="http://schemas.openxmlformats.org/officeDocument/2006/relationships/hyperlink" Target="http://bsdd.buildingsmart.org/" TargetMode="External"/><Relationship Id="rId743" Type="http://schemas.openxmlformats.org/officeDocument/2006/relationships/hyperlink" Target="http://bsdd.buildingsmart.org/" TargetMode="External"/><Relationship Id="rId785" Type="http://schemas.openxmlformats.org/officeDocument/2006/relationships/hyperlink" Target="http://bsdd.buildingsmart.org/" TargetMode="External"/><Relationship Id="rId200" Type="http://schemas.openxmlformats.org/officeDocument/2006/relationships/hyperlink" Target="http://bsdd.buildingsmart.org/" TargetMode="External"/><Relationship Id="rId382" Type="http://schemas.openxmlformats.org/officeDocument/2006/relationships/hyperlink" Target="http://bsdd.buildingsmart.org/" TargetMode="External"/><Relationship Id="rId438" Type="http://schemas.openxmlformats.org/officeDocument/2006/relationships/hyperlink" Target="http://bsdd.buildingsmart.org/" TargetMode="External"/><Relationship Id="rId603" Type="http://schemas.openxmlformats.org/officeDocument/2006/relationships/hyperlink" Target="http://bsdd.buildingsmart.org/" TargetMode="External"/><Relationship Id="rId645" Type="http://schemas.openxmlformats.org/officeDocument/2006/relationships/hyperlink" Target="http://bsdd.buildingsmart.org/" TargetMode="External"/><Relationship Id="rId687" Type="http://schemas.openxmlformats.org/officeDocument/2006/relationships/hyperlink" Target="http://bsdd.buildingsmart.org/" TargetMode="External"/><Relationship Id="rId810" Type="http://schemas.openxmlformats.org/officeDocument/2006/relationships/hyperlink" Target="http://bsdd.buildingsmart.org/" TargetMode="External"/><Relationship Id="rId242" Type="http://schemas.openxmlformats.org/officeDocument/2006/relationships/hyperlink" Target="http://bsdd.buildingsmart.org/" TargetMode="External"/><Relationship Id="rId284" Type="http://schemas.openxmlformats.org/officeDocument/2006/relationships/hyperlink" Target="http://bsdd.buildingsmart.org/" TargetMode="External"/><Relationship Id="rId491" Type="http://schemas.openxmlformats.org/officeDocument/2006/relationships/hyperlink" Target="http://bsdd.buildingsmart.org/" TargetMode="External"/><Relationship Id="rId505" Type="http://schemas.openxmlformats.org/officeDocument/2006/relationships/hyperlink" Target="http://bsdd.buildingsmart.org/" TargetMode="External"/><Relationship Id="rId712" Type="http://schemas.openxmlformats.org/officeDocument/2006/relationships/hyperlink" Target="http://bsdd.buildingsmart.org/" TargetMode="External"/><Relationship Id="rId37" Type="http://schemas.openxmlformats.org/officeDocument/2006/relationships/hyperlink" Target="http://bsdd.buildingsmart.org/" TargetMode="External"/><Relationship Id="rId79" Type="http://schemas.openxmlformats.org/officeDocument/2006/relationships/hyperlink" Target="http://bsdd.buildingsmart.org/" TargetMode="External"/><Relationship Id="rId102" Type="http://schemas.openxmlformats.org/officeDocument/2006/relationships/hyperlink" Target="http://bsdd.buildingsmart.org/" TargetMode="External"/><Relationship Id="rId144" Type="http://schemas.openxmlformats.org/officeDocument/2006/relationships/hyperlink" Target="http://bsdd.buildingsmart.org/" TargetMode="External"/><Relationship Id="rId547" Type="http://schemas.openxmlformats.org/officeDocument/2006/relationships/hyperlink" Target="http://bsdd.buildingsmart.org/" TargetMode="External"/><Relationship Id="rId589" Type="http://schemas.openxmlformats.org/officeDocument/2006/relationships/hyperlink" Target="http://bsdd.buildingsmart.org/" TargetMode="External"/><Relationship Id="rId754" Type="http://schemas.openxmlformats.org/officeDocument/2006/relationships/hyperlink" Target="http://bsdd.buildingsmart.org/" TargetMode="External"/><Relationship Id="rId796" Type="http://schemas.openxmlformats.org/officeDocument/2006/relationships/hyperlink" Target="http://bsdd.buildingsmart.org/" TargetMode="External"/><Relationship Id="rId90" Type="http://schemas.openxmlformats.org/officeDocument/2006/relationships/hyperlink" Target="http://bsdd.buildingsmart.org/" TargetMode="External"/><Relationship Id="rId186" Type="http://schemas.openxmlformats.org/officeDocument/2006/relationships/hyperlink" Target="http://bsdd.buildingsmart.org/" TargetMode="External"/><Relationship Id="rId351" Type="http://schemas.openxmlformats.org/officeDocument/2006/relationships/hyperlink" Target="http://bsdd.buildingsmart.org/" TargetMode="External"/><Relationship Id="rId393" Type="http://schemas.openxmlformats.org/officeDocument/2006/relationships/hyperlink" Target="http://bsdd.buildingsmart.org/" TargetMode="External"/><Relationship Id="rId407" Type="http://schemas.openxmlformats.org/officeDocument/2006/relationships/hyperlink" Target="http://bsdd.buildingsmart.org/" TargetMode="External"/><Relationship Id="rId449" Type="http://schemas.openxmlformats.org/officeDocument/2006/relationships/hyperlink" Target="http://bsdd.buildingsmart.org/" TargetMode="External"/><Relationship Id="rId614" Type="http://schemas.openxmlformats.org/officeDocument/2006/relationships/hyperlink" Target="http://bsdd.buildingsmart.org/" TargetMode="External"/><Relationship Id="rId656" Type="http://schemas.openxmlformats.org/officeDocument/2006/relationships/hyperlink" Target="http://bsdd.buildingsmart.org/" TargetMode="External"/><Relationship Id="rId821" Type="http://schemas.openxmlformats.org/officeDocument/2006/relationships/hyperlink" Target="http://bsdd.buildingsmart.org/" TargetMode="External"/><Relationship Id="rId211" Type="http://schemas.openxmlformats.org/officeDocument/2006/relationships/hyperlink" Target="http://bsdd.buildingsmart.org/" TargetMode="External"/><Relationship Id="rId253" Type="http://schemas.openxmlformats.org/officeDocument/2006/relationships/hyperlink" Target="http://bsdd.buildingsmart.org/" TargetMode="External"/><Relationship Id="rId295" Type="http://schemas.openxmlformats.org/officeDocument/2006/relationships/hyperlink" Target="http://bsdd.buildingsmart.org/" TargetMode="External"/><Relationship Id="rId309" Type="http://schemas.openxmlformats.org/officeDocument/2006/relationships/hyperlink" Target="http://bsdd.buildingsmart.org/" TargetMode="External"/><Relationship Id="rId460" Type="http://schemas.openxmlformats.org/officeDocument/2006/relationships/hyperlink" Target="http://bsdd.buildingsmart.org/" TargetMode="External"/><Relationship Id="rId516" Type="http://schemas.openxmlformats.org/officeDocument/2006/relationships/hyperlink" Target="http://bsdd.buildingsmart.org/" TargetMode="External"/><Relationship Id="rId698" Type="http://schemas.openxmlformats.org/officeDocument/2006/relationships/hyperlink" Target="http://bsdd.buildingsmart.org/" TargetMode="External"/><Relationship Id="rId48" Type="http://schemas.openxmlformats.org/officeDocument/2006/relationships/hyperlink" Target="http://bsdd.buildingsmart.org/" TargetMode="External"/><Relationship Id="rId113" Type="http://schemas.openxmlformats.org/officeDocument/2006/relationships/hyperlink" Target="http://bsdd.buildingsmart.org/" TargetMode="External"/><Relationship Id="rId320" Type="http://schemas.openxmlformats.org/officeDocument/2006/relationships/hyperlink" Target="http://bsdd.buildingsmart.org/" TargetMode="External"/><Relationship Id="rId558" Type="http://schemas.openxmlformats.org/officeDocument/2006/relationships/hyperlink" Target="http://bsdd.buildingsmart.org/" TargetMode="External"/><Relationship Id="rId723" Type="http://schemas.openxmlformats.org/officeDocument/2006/relationships/hyperlink" Target="http://bsdd.buildingsmart.org/" TargetMode="External"/><Relationship Id="rId765" Type="http://schemas.openxmlformats.org/officeDocument/2006/relationships/hyperlink" Target="http://bsdd.buildingsmart.org/" TargetMode="External"/><Relationship Id="rId155" Type="http://schemas.openxmlformats.org/officeDocument/2006/relationships/hyperlink" Target="http://bsdd.buildingsmart.org/" TargetMode="External"/><Relationship Id="rId197" Type="http://schemas.openxmlformats.org/officeDocument/2006/relationships/hyperlink" Target="http://bsdd.buildingsmart.org/" TargetMode="External"/><Relationship Id="rId362" Type="http://schemas.openxmlformats.org/officeDocument/2006/relationships/hyperlink" Target="http://bsdd.buildingsmart.org/" TargetMode="External"/><Relationship Id="rId418" Type="http://schemas.openxmlformats.org/officeDocument/2006/relationships/hyperlink" Target="http://bsdd.buildingsmart.org/" TargetMode="External"/><Relationship Id="rId625" Type="http://schemas.openxmlformats.org/officeDocument/2006/relationships/hyperlink" Target="http://bsdd.buildingsmart.org/" TargetMode="External"/><Relationship Id="rId832" Type="http://schemas.openxmlformats.org/officeDocument/2006/relationships/hyperlink" Target="http://bsdd.buildingsmart.org/" TargetMode="External"/><Relationship Id="rId222" Type="http://schemas.openxmlformats.org/officeDocument/2006/relationships/hyperlink" Target="http://bsdd.buildingsmart.org/" TargetMode="External"/><Relationship Id="rId264" Type="http://schemas.openxmlformats.org/officeDocument/2006/relationships/hyperlink" Target="http://bsdd.buildingsmart.org/" TargetMode="External"/><Relationship Id="rId471" Type="http://schemas.openxmlformats.org/officeDocument/2006/relationships/hyperlink" Target="http://bsdd.buildingsmart.org/" TargetMode="External"/><Relationship Id="rId667" Type="http://schemas.openxmlformats.org/officeDocument/2006/relationships/hyperlink" Target="http://bsdd.buildingsmart.org/" TargetMode="External"/><Relationship Id="rId17" Type="http://schemas.openxmlformats.org/officeDocument/2006/relationships/hyperlink" Target="http://bsdd.buildingsmart.org/" TargetMode="External"/><Relationship Id="rId59" Type="http://schemas.openxmlformats.org/officeDocument/2006/relationships/hyperlink" Target="http://bsdd.buildingsmart.org/" TargetMode="External"/><Relationship Id="rId124" Type="http://schemas.openxmlformats.org/officeDocument/2006/relationships/hyperlink" Target="http://bsdd.buildingsmart.org/" TargetMode="External"/><Relationship Id="rId527" Type="http://schemas.openxmlformats.org/officeDocument/2006/relationships/hyperlink" Target="http://bsdd.buildingsmart.org/" TargetMode="External"/><Relationship Id="rId569" Type="http://schemas.openxmlformats.org/officeDocument/2006/relationships/hyperlink" Target="http://bsdd.buildingsmart.org/" TargetMode="External"/><Relationship Id="rId734" Type="http://schemas.openxmlformats.org/officeDocument/2006/relationships/hyperlink" Target="http://bsdd.buildingsmart.org/" TargetMode="External"/><Relationship Id="rId776" Type="http://schemas.openxmlformats.org/officeDocument/2006/relationships/hyperlink" Target="http://bsdd.buildingsmart.org/" TargetMode="External"/><Relationship Id="rId70" Type="http://schemas.openxmlformats.org/officeDocument/2006/relationships/hyperlink" Target="http://bsdd.buildingsmart.org/" TargetMode="External"/><Relationship Id="rId166" Type="http://schemas.openxmlformats.org/officeDocument/2006/relationships/hyperlink" Target="http://bsdd.buildingsmart.org/" TargetMode="External"/><Relationship Id="rId331" Type="http://schemas.openxmlformats.org/officeDocument/2006/relationships/hyperlink" Target="http://bsdd.buildingsmart.org/" TargetMode="External"/><Relationship Id="rId373" Type="http://schemas.openxmlformats.org/officeDocument/2006/relationships/hyperlink" Target="http://bsdd.buildingsmart.org/" TargetMode="External"/><Relationship Id="rId429" Type="http://schemas.openxmlformats.org/officeDocument/2006/relationships/hyperlink" Target="http://bsdd.buildingsmart.org/" TargetMode="External"/><Relationship Id="rId580" Type="http://schemas.openxmlformats.org/officeDocument/2006/relationships/hyperlink" Target="http://bsdd.buildingsmart.org/" TargetMode="External"/><Relationship Id="rId636" Type="http://schemas.openxmlformats.org/officeDocument/2006/relationships/hyperlink" Target="http://bsdd.buildingsmart.org/" TargetMode="External"/><Relationship Id="rId801" Type="http://schemas.openxmlformats.org/officeDocument/2006/relationships/hyperlink" Target="http://bsdd.buildingsmart.org/" TargetMode="External"/><Relationship Id="rId1" Type="http://schemas.openxmlformats.org/officeDocument/2006/relationships/hyperlink" Target="http://bsdd.buildingsmart.org/" TargetMode="External"/><Relationship Id="rId233" Type="http://schemas.openxmlformats.org/officeDocument/2006/relationships/hyperlink" Target="http://bsdd.buildingsmart.org/" TargetMode="External"/><Relationship Id="rId440" Type="http://schemas.openxmlformats.org/officeDocument/2006/relationships/hyperlink" Target="http://bsdd.buildingsmart.org/" TargetMode="External"/><Relationship Id="rId678" Type="http://schemas.openxmlformats.org/officeDocument/2006/relationships/hyperlink" Target="http://bsdd.buildingsmart.org/" TargetMode="External"/><Relationship Id="rId28" Type="http://schemas.openxmlformats.org/officeDocument/2006/relationships/hyperlink" Target="http://bsdd.buildingsmart.org/" TargetMode="External"/><Relationship Id="rId275" Type="http://schemas.openxmlformats.org/officeDocument/2006/relationships/hyperlink" Target="http://bsdd.buildingsmart.org/" TargetMode="External"/><Relationship Id="rId300" Type="http://schemas.openxmlformats.org/officeDocument/2006/relationships/hyperlink" Target="http://bsdd.buildingsmart.org/" TargetMode="External"/><Relationship Id="rId482" Type="http://schemas.openxmlformats.org/officeDocument/2006/relationships/hyperlink" Target="http://bsdd.buildingsmart.org/" TargetMode="External"/><Relationship Id="rId538" Type="http://schemas.openxmlformats.org/officeDocument/2006/relationships/hyperlink" Target="http://bsdd.buildingsmart.org/" TargetMode="External"/><Relationship Id="rId703" Type="http://schemas.openxmlformats.org/officeDocument/2006/relationships/hyperlink" Target="http://bsdd.buildingsmart.org/" TargetMode="External"/><Relationship Id="rId745" Type="http://schemas.openxmlformats.org/officeDocument/2006/relationships/hyperlink" Target="http://bsdd.buildingsmart.org/" TargetMode="External"/><Relationship Id="rId81" Type="http://schemas.openxmlformats.org/officeDocument/2006/relationships/hyperlink" Target="http://bsdd.buildingsmart.org/" TargetMode="External"/><Relationship Id="rId135" Type="http://schemas.openxmlformats.org/officeDocument/2006/relationships/hyperlink" Target="http://bsdd.buildingsmart.org/" TargetMode="External"/><Relationship Id="rId177" Type="http://schemas.openxmlformats.org/officeDocument/2006/relationships/hyperlink" Target="http://bsdd.buildingsmart.org/" TargetMode="External"/><Relationship Id="rId342" Type="http://schemas.openxmlformats.org/officeDocument/2006/relationships/hyperlink" Target="http://bsdd.buildingsmart.org/" TargetMode="External"/><Relationship Id="rId384" Type="http://schemas.openxmlformats.org/officeDocument/2006/relationships/hyperlink" Target="http://bsdd.buildingsmart.org/" TargetMode="External"/><Relationship Id="rId591" Type="http://schemas.openxmlformats.org/officeDocument/2006/relationships/hyperlink" Target="http://bsdd.buildingsmart.org/" TargetMode="External"/><Relationship Id="rId605" Type="http://schemas.openxmlformats.org/officeDocument/2006/relationships/hyperlink" Target="http://bsdd.buildingsmart.org/" TargetMode="External"/><Relationship Id="rId787" Type="http://schemas.openxmlformats.org/officeDocument/2006/relationships/hyperlink" Target="http://bsdd.buildingsmart.org/" TargetMode="External"/><Relationship Id="rId812" Type="http://schemas.openxmlformats.org/officeDocument/2006/relationships/hyperlink" Target="http://bsdd.buildingsmart.org/" TargetMode="External"/><Relationship Id="rId202" Type="http://schemas.openxmlformats.org/officeDocument/2006/relationships/hyperlink" Target="http://bsdd.buildingsmart.org/" TargetMode="External"/><Relationship Id="rId244" Type="http://schemas.openxmlformats.org/officeDocument/2006/relationships/hyperlink" Target="http://bsdd.buildingsmart.org/" TargetMode="External"/><Relationship Id="rId647" Type="http://schemas.openxmlformats.org/officeDocument/2006/relationships/hyperlink" Target="http://bsdd.buildingsmart.org/" TargetMode="External"/><Relationship Id="rId689" Type="http://schemas.openxmlformats.org/officeDocument/2006/relationships/hyperlink" Target="http://bsdd.buildingsmart.org/" TargetMode="External"/><Relationship Id="rId39" Type="http://schemas.openxmlformats.org/officeDocument/2006/relationships/hyperlink" Target="http://bsdd.buildingsmart.org/" TargetMode="External"/><Relationship Id="rId286" Type="http://schemas.openxmlformats.org/officeDocument/2006/relationships/hyperlink" Target="http://bsdd.buildingsmart.org/" TargetMode="External"/><Relationship Id="rId451" Type="http://schemas.openxmlformats.org/officeDocument/2006/relationships/hyperlink" Target="http://bsdd.buildingsmart.org/" TargetMode="External"/><Relationship Id="rId493" Type="http://schemas.openxmlformats.org/officeDocument/2006/relationships/hyperlink" Target="http://bsdd.buildingsmart.org/" TargetMode="External"/><Relationship Id="rId507" Type="http://schemas.openxmlformats.org/officeDocument/2006/relationships/hyperlink" Target="http://bsdd.buildingsmart.org/" TargetMode="External"/><Relationship Id="rId549" Type="http://schemas.openxmlformats.org/officeDocument/2006/relationships/hyperlink" Target="http://bsdd.buildingsmart.org/" TargetMode="External"/><Relationship Id="rId714" Type="http://schemas.openxmlformats.org/officeDocument/2006/relationships/hyperlink" Target="http://bsdd.buildingsmart.org/" TargetMode="External"/><Relationship Id="rId756" Type="http://schemas.openxmlformats.org/officeDocument/2006/relationships/hyperlink" Target="http://bsdd.buildingsmart.org/" TargetMode="External"/><Relationship Id="rId50" Type="http://schemas.openxmlformats.org/officeDocument/2006/relationships/hyperlink" Target="http://bsdd.buildingsmart.org/" TargetMode="External"/><Relationship Id="rId104" Type="http://schemas.openxmlformats.org/officeDocument/2006/relationships/hyperlink" Target="http://bsdd.buildingsmart.org/" TargetMode="External"/><Relationship Id="rId146" Type="http://schemas.openxmlformats.org/officeDocument/2006/relationships/hyperlink" Target="http://www.buildingsmart-tech.org/ifc/IFC4/final/html/schema/ifcsharedcomponentelements/lexical/ifcdiscreteaccessorytype.htm" TargetMode="External"/><Relationship Id="rId188" Type="http://schemas.openxmlformats.org/officeDocument/2006/relationships/hyperlink" Target="http://bsdd.buildingsmart.org/" TargetMode="External"/><Relationship Id="rId311" Type="http://schemas.openxmlformats.org/officeDocument/2006/relationships/hyperlink" Target="http://bsdd.buildingsmart.org/" TargetMode="External"/><Relationship Id="rId353" Type="http://schemas.openxmlformats.org/officeDocument/2006/relationships/hyperlink" Target="http://bsdd.buildingsmart.org/" TargetMode="External"/><Relationship Id="rId395" Type="http://schemas.openxmlformats.org/officeDocument/2006/relationships/hyperlink" Target="http://bsdd.buildingsmart.org/" TargetMode="External"/><Relationship Id="rId409" Type="http://schemas.openxmlformats.org/officeDocument/2006/relationships/hyperlink" Target="http://bsdd.buildingsmart.org/" TargetMode="External"/><Relationship Id="rId560" Type="http://schemas.openxmlformats.org/officeDocument/2006/relationships/hyperlink" Target="http://bsdd.buildingsmart.org/" TargetMode="External"/><Relationship Id="rId798" Type="http://schemas.openxmlformats.org/officeDocument/2006/relationships/hyperlink" Target="http://bsdd.buildingsmart.org/" TargetMode="External"/><Relationship Id="rId92" Type="http://schemas.openxmlformats.org/officeDocument/2006/relationships/hyperlink" Target="http://bsdd.buildingsmart.org/" TargetMode="External"/><Relationship Id="rId213" Type="http://schemas.openxmlformats.org/officeDocument/2006/relationships/hyperlink" Target="http://bsdd.buildingsmart.org/" TargetMode="External"/><Relationship Id="rId420" Type="http://schemas.openxmlformats.org/officeDocument/2006/relationships/hyperlink" Target="http://bsdd.buildingsmart.org/" TargetMode="External"/><Relationship Id="rId616" Type="http://schemas.openxmlformats.org/officeDocument/2006/relationships/hyperlink" Target="http://bsdd.buildingsmart.org/" TargetMode="External"/><Relationship Id="rId658" Type="http://schemas.openxmlformats.org/officeDocument/2006/relationships/hyperlink" Target="http://bsdd.buildingsmart.org/" TargetMode="External"/><Relationship Id="rId823" Type="http://schemas.openxmlformats.org/officeDocument/2006/relationships/hyperlink" Target="http://bsdd.buildingsmart.org/" TargetMode="External"/><Relationship Id="rId255" Type="http://schemas.openxmlformats.org/officeDocument/2006/relationships/hyperlink" Target="http://bsdd.buildingsmart.org/" TargetMode="External"/><Relationship Id="rId297" Type="http://schemas.openxmlformats.org/officeDocument/2006/relationships/hyperlink" Target="http://bsdd.buildingsmart.org/" TargetMode="External"/><Relationship Id="rId462" Type="http://schemas.openxmlformats.org/officeDocument/2006/relationships/hyperlink" Target="http://bsdd.buildingsmart.org/" TargetMode="External"/><Relationship Id="rId518" Type="http://schemas.openxmlformats.org/officeDocument/2006/relationships/hyperlink" Target="http://bsdd.buildingsmart.org/" TargetMode="External"/><Relationship Id="rId725" Type="http://schemas.openxmlformats.org/officeDocument/2006/relationships/hyperlink" Target="http://bsdd.buildingsmart.org/" TargetMode="External"/><Relationship Id="rId115" Type="http://schemas.openxmlformats.org/officeDocument/2006/relationships/hyperlink" Target="http://bsdd.buildingsmart.org/" TargetMode="External"/><Relationship Id="rId157" Type="http://schemas.openxmlformats.org/officeDocument/2006/relationships/hyperlink" Target="http://bsdd.buildingsmart.org/" TargetMode="External"/><Relationship Id="rId322" Type="http://schemas.openxmlformats.org/officeDocument/2006/relationships/hyperlink" Target="http://bsdd.buildingsmart.org/" TargetMode="External"/><Relationship Id="rId364" Type="http://schemas.openxmlformats.org/officeDocument/2006/relationships/hyperlink" Target="http://bsdd.buildingsmart.org/" TargetMode="External"/><Relationship Id="rId767" Type="http://schemas.openxmlformats.org/officeDocument/2006/relationships/hyperlink" Target="http://bsdd.buildingsmart.org/" TargetMode="External"/><Relationship Id="rId61" Type="http://schemas.openxmlformats.org/officeDocument/2006/relationships/hyperlink" Target="http://bsdd.buildingsmart.org/" TargetMode="External"/><Relationship Id="rId199" Type="http://schemas.openxmlformats.org/officeDocument/2006/relationships/hyperlink" Target="http://bsdd.buildingsmart.org/" TargetMode="External"/><Relationship Id="rId571" Type="http://schemas.openxmlformats.org/officeDocument/2006/relationships/hyperlink" Target="http://bsdd.buildingsmart.org/" TargetMode="External"/><Relationship Id="rId627" Type="http://schemas.openxmlformats.org/officeDocument/2006/relationships/hyperlink" Target="http://bsdd.buildingsmart.org/" TargetMode="External"/><Relationship Id="rId669" Type="http://schemas.openxmlformats.org/officeDocument/2006/relationships/hyperlink" Target="http://bsdd.buildingsmart.org/" TargetMode="External"/><Relationship Id="rId834" Type="http://schemas.openxmlformats.org/officeDocument/2006/relationships/vmlDrawing" Target="../drawings/vmlDrawing1.vml"/><Relationship Id="rId19" Type="http://schemas.openxmlformats.org/officeDocument/2006/relationships/hyperlink" Target="http://bsdd.buildingsmart.org/" TargetMode="External"/><Relationship Id="rId224" Type="http://schemas.openxmlformats.org/officeDocument/2006/relationships/hyperlink" Target="http://bsdd.buildingsmart.org/" TargetMode="External"/><Relationship Id="rId266" Type="http://schemas.openxmlformats.org/officeDocument/2006/relationships/hyperlink" Target="http://bsdd.buildingsmart.org/" TargetMode="External"/><Relationship Id="rId431" Type="http://schemas.openxmlformats.org/officeDocument/2006/relationships/hyperlink" Target="http://bsdd.buildingsmart.org/" TargetMode="External"/><Relationship Id="rId473" Type="http://schemas.openxmlformats.org/officeDocument/2006/relationships/hyperlink" Target="http://bsdd.buildingsmart.org/" TargetMode="External"/><Relationship Id="rId529" Type="http://schemas.openxmlformats.org/officeDocument/2006/relationships/hyperlink" Target="http://bsdd.buildingsmart.org/" TargetMode="External"/><Relationship Id="rId680" Type="http://schemas.openxmlformats.org/officeDocument/2006/relationships/hyperlink" Target="http://bsdd.buildingsmart.org/" TargetMode="External"/><Relationship Id="rId736" Type="http://schemas.openxmlformats.org/officeDocument/2006/relationships/hyperlink" Target="http://bsdd.buildingsmart.org/" TargetMode="External"/><Relationship Id="rId30" Type="http://schemas.openxmlformats.org/officeDocument/2006/relationships/hyperlink" Target="http://bsdd.buildingsmart.org/" TargetMode="External"/><Relationship Id="rId126" Type="http://schemas.openxmlformats.org/officeDocument/2006/relationships/hyperlink" Target="http://bsdd.buildingsmart.org/" TargetMode="External"/><Relationship Id="rId168" Type="http://schemas.openxmlformats.org/officeDocument/2006/relationships/hyperlink" Target="http://bsdd.buildingsmart.org/" TargetMode="External"/><Relationship Id="rId333" Type="http://schemas.openxmlformats.org/officeDocument/2006/relationships/hyperlink" Target="http://bsdd.buildingsmart.org/" TargetMode="External"/><Relationship Id="rId540" Type="http://schemas.openxmlformats.org/officeDocument/2006/relationships/hyperlink" Target="http://bsdd.buildingsmart.org/" TargetMode="External"/><Relationship Id="rId778" Type="http://schemas.openxmlformats.org/officeDocument/2006/relationships/hyperlink" Target="http://bsdd.buildingsmart.org/" TargetMode="External"/><Relationship Id="rId72" Type="http://schemas.openxmlformats.org/officeDocument/2006/relationships/hyperlink" Target="http://bsdd.buildingsmart.org/" TargetMode="External"/><Relationship Id="rId375" Type="http://schemas.openxmlformats.org/officeDocument/2006/relationships/hyperlink" Target="http://bsdd.buildingsmart.org/" TargetMode="External"/><Relationship Id="rId582" Type="http://schemas.openxmlformats.org/officeDocument/2006/relationships/hyperlink" Target="http://bsdd.buildingsmart.org/" TargetMode="External"/><Relationship Id="rId638" Type="http://schemas.openxmlformats.org/officeDocument/2006/relationships/hyperlink" Target="http://bsdd.buildingsmart.org/" TargetMode="External"/><Relationship Id="rId803" Type="http://schemas.openxmlformats.org/officeDocument/2006/relationships/hyperlink" Target="http://bsdd.buildingsmart.org/" TargetMode="External"/><Relationship Id="rId3" Type="http://schemas.openxmlformats.org/officeDocument/2006/relationships/hyperlink" Target="http://bsdd.buildingsmart.org/" TargetMode="External"/><Relationship Id="rId235" Type="http://schemas.openxmlformats.org/officeDocument/2006/relationships/hyperlink" Target="http://bsdd.buildingsmart.org/" TargetMode="External"/><Relationship Id="rId277" Type="http://schemas.openxmlformats.org/officeDocument/2006/relationships/hyperlink" Target="http://bsdd.buildingsmart.org/" TargetMode="External"/><Relationship Id="rId400" Type="http://schemas.openxmlformats.org/officeDocument/2006/relationships/hyperlink" Target="http://bsdd.buildingsmart.org/" TargetMode="External"/><Relationship Id="rId442" Type="http://schemas.openxmlformats.org/officeDocument/2006/relationships/hyperlink" Target="http://bsdd.buildingsmart.org/" TargetMode="External"/><Relationship Id="rId484" Type="http://schemas.openxmlformats.org/officeDocument/2006/relationships/hyperlink" Target="http://bsdd.buildingsmart.org/" TargetMode="External"/><Relationship Id="rId705" Type="http://schemas.openxmlformats.org/officeDocument/2006/relationships/hyperlink" Target="http://bsdd.buildingsmart.org/" TargetMode="External"/><Relationship Id="rId137" Type="http://schemas.openxmlformats.org/officeDocument/2006/relationships/hyperlink" Target="http://bsdd.buildingsmart.org/" TargetMode="External"/><Relationship Id="rId302" Type="http://schemas.openxmlformats.org/officeDocument/2006/relationships/hyperlink" Target="http://bsdd.buildingsmart.org/" TargetMode="External"/><Relationship Id="rId344" Type="http://schemas.openxmlformats.org/officeDocument/2006/relationships/hyperlink" Target="http://bsdd.buildingsmart.org/" TargetMode="External"/><Relationship Id="rId691" Type="http://schemas.openxmlformats.org/officeDocument/2006/relationships/hyperlink" Target="http://bsdd.buildingsmart.org/" TargetMode="External"/><Relationship Id="rId747" Type="http://schemas.openxmlformats.org/officeDocument/2006/relationships/hyperlink" Target="http://bsdd.buildingsmart.org/" TargetMode="External"/><Relationship Id="rId789" Type="http://schemas.openxmlformats.org/officeDocument/2006/relationships/hyperlink" Target="http://bsdd.buildingsmart.org/" TargetMode="External"/><Relationship Id="rId41" Type="http://schemas.openxmlformats.org/officeDocument/2006/relationships/hyperlink" Target="http://bsdd.buildingsmart.org/" TargetMode="External"/><Relationship Id="rId83" Type="http://schemas.openxmlformats.org/officeDocument/2006/relationships/hyperlink" Target="http://bsdd.buildingsmart.org/" TargetMode="External"/><Relationship Id="rId179" Type="http://schemas.openxmlformats.org/officeDocument/2006/relationships/hyperlink" Target="http://bsdd.buildingsmart.org/" TargetMode="External"/><Relationship Id="rId386" Type="http://schemas.openxmlformats.org/officeDocument/2006/relationships/hyperlink" Target="http://bsdd.buildingsmart.org/" TargetMode="External"/><Relationship Id="rId551" Type="http://schemas.openxmlformats.org/officeDocument/2006/relationships/hyperlink" Target="http://bsdd.buildingsmart.org/" TargetMode="External"/><Relationship Id="rId593" Type="http://schemas.openxmlformats.org/officeDocument/2006/relationships/hyperlink" Target="http://bsdd.buildingsmart.org/" TargetMode="External"/><Relationship Id="rId607" Type="http://schemas.openxmlformats.org/officeDocument/2006/relationships/hyperlink" Target="http://bsdd.buildingsmart.org/" TargetMode="External"/><Relationship Id="rId649" Type="http://schemas.openxmlformats.org/officeDocument/2006/relationships/hyperlink" Target="http://bsdd.buildingsmart.org/" TargetMode="External"/><Relationship Id="rId814" Type="http://schemas.openxmlformats.org/officeDocument/2006/relationships/hyperlink" Target="http://bsdd.buildingsmart.org/" TargetMode="External"/><Relationship Id="rId190" Type="http://schemas.openxmlformats.org/officeDocument/2006/relationships/hyperlink" Target="http://bsdd.buildingsmart.org/" TargetMode="External"/><Relationship Id="rId204" Type="http://schemas.openxmlformats.org/officeDocument/2006/relationships/hyperlink" Target="http://bsdd.buildingsmart.org/" TargetMode="External"/><Relationship Id="rId246" Type="http://schemas.openxmlformats.org/officeDocument/2006/relationships/hyperlink" Target="http://bsdd.buildingsmart.org/" TargetMode="External"/><Relationship Id="rId288" Type="http://schemas.openxmlformats.org/officeDocument/2006/relationships/hyperlink" Target="http://bsdd.buildingsmart.org/" TargetMode="External"/><Relationship Id="rId411" Type="http://schemas.openxmlformats.org/officeDocument/2006/relationships/hyperlink" Target="http://bsdd.buildingsmart.org/" TargetMode="External"/><Relationship Id="rId453" Type="http://schemas.openxmlformats.org/officeDocument/2006/relationships/hyperlink" Target="http://bsdd.buildingsmart.org/" TargetMode="External"/><Relationship Id="rId509" Type="http://schemas.openxmlformats.org/officeDocument/2006/relationships/hyperlink" Target="http://bsdd.buildingsmart.org/" TargetMode="External"/><Relationship Id="rId660" Type="http://schemas.openxmlformats.org/officeDocument/2006/relationships/hyperlink" Target="http://bsdd.buildingsmart.org/" TargetMode="External"/><Relationship Id="rId106" Type="http://schemas.openxmlformats.org/officeDocument/2006/relationships/hyperlink" Target="http://bsdd.buildingsmart.org/" TargetMode="External"/><Relationship Id="rId313" Type="http://schemas.openxmlformats.org/officeDocument/2006/relationships/hyperlink" Target="http://bsdd.buildingsmart.org/" TargetMode="External"/><Relationship Id="rId495" Type="http://schemas.openxmlformats.org/officeDocument/2006/relationships/hyperlink" Target="http://bsdd.buildingsmart.org/" TargetMode="External"/><Relationship Id="rId716" Type="http://schemas.openxmlformats.org/officeDocument/2006/relationships/hyperlink" Target="http://bsdd.buildingsmart.org/" TargetMode="External"/><Relationship Id="rId758" Type="http://schemas.openxmlformats.org/officeDocument/2006/relationships/hyperlink" Target="http://bsdd.buildingsmart.org/" TargetMode="External"/><Relationship Id="rId10" Type="http://schemas.openxmlformats.org/officeDocument/2006/relationships/hyperlink" Target="http://bsdd.buildingsmart.org/" TargetMode="External"/><Relationship Id="rId52" Type="http://schemas.openxmlformats.org/officeDocument/2006/relationships/hyperlink" Target="http://bsdd.buildingsmart.org/" TargetMode="External"/><Relationship Id="rId94" Type="http://schemas.openxmlformats.org/officeDocument/2006/relationships/hyperlink" Target="http://bsdd.buildingsmart.org/" TargetMode="External"/><Relationship Id="rId148" Type="http://schemas.openxmlformats.org/officeDocument/2006/relationships/hyperlink" Target="http://bsdd.buildingsmart.org/" TargetMode="External"/><Relationship Id="rId355" Type="http://schemas.openxmlformats.org/officeDocument/2006/relationships/hyperlink" Target="http://bsdd.buildingsmart.org/" TargetMode="External"/><Relationship Id="rId397" Type="http://schemas.openxmlformats.org/officeDocument/2006/relationships/hyperlink" Target="http://bsdd.buildingsmart.org/" TargetMode="External"/><Relationship Id="rId520" Type="http://schemas.openxmlformats.org/officeDocument/2006/relationships/hyperlink" Target="http://bsdd.buildingsmart.org/" TargetMode="External"/><Relationship Id="rId562" Type="http://schemas.openxmlformats.org/officeDocument/2006/relationships/hyperlink" Target="http://bsdd.buildingsmart.org/" TargetMode="External"/><Relationship Id="rId618" Type="http://schemas.openxmlformats.org/officeDocument/2006/relationships/hyperlink" Target="http://bsdd.buildingsmart.org/" TargetMode="External"/><Relationship Id="rId825" Type="http://schemas.openxmlformats.org/officeDocument/2006/relationships/hyperlink" Target="http://bsdd.buildingsmart.org/" TargetMode="External"/><Relationship Id="rId215" Type="http://schemas.openxmlformats.org/officeDocument/2006/relationships/hyperlink" Target="http://bsdd.buildingsmart.org/" TargetMode="External"/><Relationship Id="rId257" Type="http://schemas.openxmlformats.org/officeDocument/2006/relationships/hyperlink" Target="http://bsdd.buildingsmart.org/" TargetMode="External"/><Relationship Id="rId422" Type="http://schemas.openxmlformats.org/officeDocument/2006/relationships/hyperlink" Target="http://bsdd.buildingsmart.org/" TargetMode="External"/><Relationship Id="rId464" Type="http://schemas.openxmlformats.org/officeDocument/2006/relationships/hyperlink" Target="http://bsdd.buildingsmart.org/" TargetMode="External"/><Relationship Id="rId299" Type="http://schemas.openxmlformats.org/officeDocument/2006/relationships/hyperlink" Target="http://bsdd.buildingsmart.org/" TargetMode="External"/><Relationship Id="rId727" Type="http://schemas.openxmlformats.org/officeDocument/2006/relationships/hyperlink" Target="http://bsdd.buildingsmart.org/" TargetMode="External"/><Relationship Id="rId63" Type="http://schemas.openxmlformats.org/officeDocument/2006/relationships/hyperlink" Target="http://bsdd.buildingsmart.org/" TargetMode="External"/><Relationship Id="rId159" Type="http://schemas.openxmlformats.org/officeDocument/2006/relationships/hyperlink" Target="http://bsdd.buildingsmart.org/" TargetMode="External"/><Relationship Id="rId366" Type="http://schemas.openxmlformats.org/officeDocument/2006/relationships/hyperlink" Target="http://bsdd.buildingsmart.org/" TargetMode="External"/><Relationship Id="rId573" Type="http://schemas.openxmlformats.org/officeDocument/2006/relationships/hyperlink" Target="http://bsdd.buildingsmart.org/" TargetMode="External"/><Relationship Id="rId780" Type="http://schemas.openxmlformats.org/officeDocument/2006/relationships/hyperlink" Target="http://bsdd.buildingsmart.org/" TargetMode="External"/><Relationship Id="rId226" Type="http://schemas.openxmlformats.org/officeDocument/2006/relationships/hyperlink" Target="http://bsdd.buildingsmart.org/" TargetMode="External"/><Relationship Id="rId433" Type="http://schemas.openxmlformats.org/officeDocument/2006/relationships/hyperlink" Target="http://bsdd.buildingsmart.org/" TargetMode="External"/><Relationship Id="rId640" Type="http://schemas.openxmlformats.org/officeDocument/2006/relationships/hyperlink" Target="http://bsdd.buildingsmart.org/" TargetMode="External"/><Relationship Id="rId738" Type="http://schemas.openxmlformats.org/officeDocument/2006/relationships/hyperlink" Target="http://bsdd.buildingsmart.org/" TargetMode="External"/><Relationship Id="rId74" Type="http://schemas.openxmlformats.org/officeDocument/2006/relationships/hyperlink" Target="http://bsdd.buildingsmart.org/" TargetMode="External"/><Relationship Id="rId377" Type="http://schemas.openxmlformats.org/officeDocument/2006/relationships/hyperlink" Target="http://bsdd.buildingsmart.org/" TargetMode="External"/><Relationship Id="rId500" Type="http://schemas.openxmlformats.org/officeDocument/2006/relationships/hyperlink" Target="http://bsdd.buildingsmart.org/" TargetMode="External"/><Relationship Id="rId584" Type="http://schemas.openxmlformats.org/officeDocument/2006/relationships/hyperlink" Target="http://bsdd.buildingsmart.org/" TargetMode="External"/><Relationship Id="rId805" Type="http://schemas.openxmlformats.org/officeDocument/2006/relationships/hyperlink" Target="http://bsdd.buildingsmart.org/" TargetMode="External"/><Relationship Id="rId5" Type="http://schemas.openxmlformats.org/officeDocument/2006/relationships/hyperlink" Target="http://bsdd.buildingsmart.org/" TargetMode="External"/><Relationship Id="rId237" Type="http://schemas.openxmlformats.org/officeDocument/2006/relationships/hyperlink" Target="http://bsdd.buildingsmart.org/" TargetMode="External"/><Relationship Id="rId791" Type="http://schemas.openxmlformats.org/officeDocument/2006/relationships/hyperlink" Target="http://bsdd.buildingsmart.org/" TargetMode="External"/><Relationship Id="rId444" Type="http://schemas.openxmlformats.org/officeDocument/2006/relationships/hyperlink" Target="http://bsdd.buildingsmart.org/" TargetMode="External"/><Relationship Id="rId651" Type="http://schemas.openxmlformats.org/officeDocument/2006/relationships/hyperlink" Target="http://bsdd.buildingsmart.org/" TargetMode="External"/><Relationship Id="rId749" Type="http://schemas.openxmlformats.org/officeDocument/2006/relationships/hyperlink" Target="http://bsdd.buildingsmart.org/" TargetMode="External"/><Relationship Id="rId290" Type="http://schemas.openxmlformats.org/officeDocument/2006/relationships/hyperlink" Target="http://bsdd.buildingsmart.org/" TargetMode="External"/><Relationship Id="rId304" Type="http://schemas.openxmlformats.org/officeDocument/2006/relationships/hyperlink" Target="http://bsdd.buildingsmart.org/" TargetMode="External"/><Relationship Id="rId388" Type="http://schemas.openxmlformats.org/officeDocument/2006/relationships/hyperlink" Target="http://bsdd.buildingsmart.org/" TargetMode="External"/><Relationship Id="rId511" Type="http://schemas.openxmlformats.org/officeDocument/2006/relationships/hyperlink" Target="http://bsdd.buildingsmart.org/" TargetMode="External"/><Relationship Id="rId609" Type="http://schemas.openxmlformats.org/officeDocument/2006/relationships/hyperlink" Target="http://bsdd.buildingsmart.org/" TargetMode="External"/><Relationship Id="rId85" Type="http://schemas.openxmlformats.org/officeDocument/2006/relationships/hyperlink" Target="http://bsdd.buildingsmart.org/" TargetMode="External"/><Relationship Id="rId150" Type="http://schemas.openxmlformats.org/officeDocument/2006/relationships/hyperlink" Target="http://bsdd.buildingsmart.org/" TargetMode="External"/><Relationship Id="rId595" Type="http://schemas.openxmlformats.org/officeDocument/2006/relationships/hyperlink" Target="http://bsdd.buildingsmart.org/" TargetMode="External"/><Relationship Id="rId816" Type="http://schemas.openxmlformats.org/officeDocument/2006/relationships/hyperlink" Target="http://bsdd.buildingsmart.org/" TargetMode="External"/><Relationship Id="rId248" Type="http://schemas.openxmlformats.org/officeDocument/2006/relationships/hyperlink" Target="http://bsdd.buildingsmart.org/" TargetMode="External"/><Relationship Id="rId455" Type="http://schemas.openxmlformats.org/officeDocument/2006/relationships/hyperlink" Target="http://bsdd.buildingsmart.org/" TargetMode="External"/><Relationship Id="rId662" Type="http://schemas.openxmlformats.org/officeDocument/2006/relationships/hyperlink" Target="http://bsdd.buildingsmart.org/" TargetMode="External"/><Relationship Id="rId12" Type="http://schemas.openxmlformats.org/officeDocument/2006/relationships/hyperlink" Target="http://bsdd.buildingsmart.org/" TargetMode="External"/><Relationship Id="rId108" Type="http://schemas.openxmlformats.org/officeDocument/2006/relationships/hyperlink" Target="http://bsdd.buildingsmart.org/" TargetMode="External"/><Relationship Id="rId315" Type="http://schemas.openxmlformats.org/officeDocument/2006/relationships/hyperlink" Target="http://bsdd.buildingsmart.org/" TargetMode="External"/><Relationship Id="rId522" Type="http://schemas.openxmlformats.org/officeDocument/2006/relationships/hyperlink" Target="http://bsdd.buildingsmart.org/" TargetMode="External"/><Relationship Id="rId96" Type="http://schemas.openxmlformats.org/officeDocument/2006/relationships/hyperlink" Target="http://bsdd.buildingsmart.org/" TargetMode="External"/><Relationship Id="rId161" Type="http://schemas.openxmlformats.org/officeDocument/2006/relationships/hyperlink" Target="http://bsdd.buildingsmart.org/" TargetMode="External"/><Relationship Id="rId399" Type="http://schemas.openxmlformats.org/officeDocument/2006/relationships/hyperlink" Target="http://bsdd.buildingsmart.org/" TargetMode="External"/><Relationship Id="rId827" Type="http://schemas.openxmlformats.org/officeDocument/2006/relationships/hyperlink" Target="http://bsdd.buildingsmart.org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ildingsmart-tech.org/ifc/IFC4/final/html/schema/ifcplumbingfireprotectiondomain/lexical/ifcstackterminal.htm" TargetMode="External"/><Relationship Id="rId2" Type="http://schemas.openxmlformats.org/officeDocument/2006/relationships/hyperlink" Target="http://www.buildingsmart-tech.org/ifc/IFC4/final/html/schema/ifcsharedcomponentelements/lexical/ifcdiscreteaccessorytype.htm" TargetMode="External"/><Relationship Id="rId1" Type="http://schemas.openxmlformats.org/officeDocument/2006/relationships/hyperlink" Target="http://www.buildingsmart-tech.org/ifc/IFC4/final/html/schema/ifcsharedcomponentelements/lexical/ifcdiscreteaccessorytype.ht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06"/>
  <sheetViews>
    <sheetView tabSelected="1" topLeftCell="G1" workbookViewId="0">
      <pane ySplit="2" topLeftCell="A675" activePane="bottomLeft" state="frozen"/>
      <selection pane="bottomLeft" activeCell="I680" sqref="I680"/>
    </sheetView>
  </sheetViews>
  <sheetFormatPr baseColWidth="10" defaultColWidth="17.33203125" defaultRowHeight="15" customHeight="1"/>
  <cols>
    <col min="1" max="1" width="5.6640625" style="148" customWidth="1"/>
    <col min="2" max="2" width="16" style="148" customWidth="1"/>
    <col min="3" max="3" width="7.6640625" style="148" customWidth="1"/>
    <col min="4" max="4" width="16" style="148" customWidth="1"/>
    <col min="5" max="5" width="7.44140625" style="148" customWidth="1"/>
    <col min="6" max="6" width="16" style="148" customWidth="1"/>
    <col min="7" max="7" width="19.109375" style="148" customWidth="1"/>
    <col min="8" max="8" width="13.44140625" style="148" customWidth="1"/>
    <col min="9" max="9" width="24.33203125" style="167" customWidth="1"/>
    <col min="10" max="10" width="24.33203125" style="148" customWidth="1"/>
    <col min="11" max="11" width="26.109375" style="148" hidden="1" customWidth="1"/>
    <col min="12" max="12" width="21" style="256" customWidth="1"/>
    <col min="13" max="13" width="8.33203125" style="148" hidden="1" customWidth="1"/>
    <col min="14" max="14" width="5" style="148" hidden="1" customWidth="1"/>
    <col min="15" max="15" width="5.44140625" style="148" hidden="1" customWidth="1"/>
    <col min="16" max="16" width="12.6640625" style="148" hidden="1" customWidth="1"/>
    <col min="17" max="17" width="9.44140625" style="148" customWidth="1"/>
    <col min="18" max="19" width="16.6640625" style="148" customWidth="1"/>
    <col min="20" max="20" width="20.77734375" style="148" customWidth="1"/>
    <col min="21" max="21" width="21.77734375" style="148" customWidth="1"/>
    <col min="22" max="25" width="14.44140625" style="148" customWidth="1"/>
    <col min="26" max="40" width="13.44140625" style="148" customWidth="1"/>
    <col min="41" max="16384" width="17.33203125" style="148"/>
  </cols>
  <sheetData>
    <row r="1" spans="1:40" ht="28.5" customHeight="1">
      <c r="A1" s="7" t="s">
        <v>18</v>
      </c>
      <c r="B1" s="7"/>
      <c r="C1" s="7"/>
      <c r="D1" s="10"/>
      <c r="E1" s="10"/>
      <c r="F1" s="10"/>
      <c r="G1" s="10"/>
      <c r="H1" s="8"/>
      <c r="I1" s="188" t="s">
        <v>4853</v>
      </c>
      <c r="J1" s="10" t="s">
        <v>146</v>
      </c>
      <c r="K1" s="10"/>
      <c r="L1" s="244"/>
      <c r="M1" s="10"/>
      <c r="N1" s="10" t="s">
        <v>163</v>
      </c>
      <c r="O1" s="10"/>
      <c r="P1" s="10"/>
      <c r="Q1" s="10" t="s">
        <v>165</v>
      </c>
      <c r="R1" s="10"/>
      <c r="S1" s="10"/>
      <c r="T1" s="10"/>
      <c r="U1" s="7"/>
      <c r="V1" s="7"/>
      <c r="W1" s="7"/>
      <c r="X1" s="7"/>
      <c r="Y1" s="7"/>
      <c r="Z1" s="12"/>
      <c r="AA1" s="170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</row>
    <row r="2" spans="1:40" ht="73.5" customHeight="1">
      <c r="A2" s="14" t="s">
        <v>193</v>
      </c>
      <c r="B2" s="14" t="s">
        <v>205</v>
      </c>
      <c r="C2" s="14" t="s">
        <v>207</v>
      </c>
      <c r="D2" s="16" t="s">
        <v>208</v>
      </c>
      <c r="E2" s="16" t="s">
        <v>221</v>
      </c>
      <c r="F2" s="16" t="s">
        <v>222</v>
      </c>
      <c r="G2" s="16" t="s">
        <v>223</v>
      </c>
      <c r="H2" s="17" t="s">
        <v>225</v>
      </c>
      <c r="I2" s="18" t="s">
        <v>5227</v>
      </c>
      <c r="J2" s="18" t="s">
        <v>5228</v>
      </c>
      <c r="K2" s="19" t="s">
        <v>246</v>
      </c>
      <c r="L2" s="245" t="s">
        <v>258</v>
      </c>
      <c r="M2" s="19" t="s">
        <v>260</v>
      </c>
      <c r="N2" s="21" t="s">
        <v>261</v>
      </c>
      <c r="O2" s="21" t="s">
        <v>322</v>
      </c>
      <c r="P2" s="21" t="s">
        <v>324</v>
      </c>
      <c r="Q2" s="22" t="s">
        <v>325</v>
      </c>
      <c r="R2" s="22" t="s">
        <v>334</v>
      </c>
      <c r="S2" s="22" t="s">
        <v>335</v>
      </c>
      <c r="T2" s="22" t="s">
        <v>336</v>
      </c>
      <c r="U2" s="23" t="s">
        <v>337</v>
      </c>
      <c r="V2" s="27" t="s">
        <v>370</v>
      </c>
      <c r="W2" s="27" t="s">
        <v>388</v>
      </c>
      <c r="X2" s="27" t="s">
        <v>390</v>
      </c>
      <c r="Y2" s="23" t="s">
        <v>392</v>
      </c>
      <c r="Z2" s="189" t="s">
        <v>394</v>
      </c>
      <c r="AA2" s="171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</row>
    <row r="3" spans="1:40" ht="18" customHeight="1">
      <c r="A3" s="190">
        <v>2</v>
      </c>
      <c r="B3" s="190" t="s">
        <v>398</v>
      </c>
      <c r="C3" s="190">
        <v>21</v>
      </c>
      <c r="D3" s="191" t="s">
        <v>400</v>
      </c>
      <c r="E3" s="192">
        <v>214</v>
      </c>
      <c r="F3" s="192" t="s">
        <v>446</v>
      </c>
      <c r="G3" s="193" t="s">
        <v>448</v>
      </c>
      <c r="H3" s="194" t="str">
        <f>HYPERLINK("http://bsdd.buildingsmart.org/#concept/details/1RFYC0WJeHu000025QrE$V","1RFYC0WJeHu000025QrE$V")</f>
        <v>1RFYC0WJeHu000025QrE$V</v>
      </c>
      <c r="I3" s="123" t="s">
        <v>458</v>
      </c>
      <c r="J3" s="195" t="s">
        <v>878</v>
      </c>
      <c r="K3" s="191" t="s">
        <v>879</v>
      </c>
      <c r="L3" s="246" t="s">
        <v>880</v>
      </c>
      <c r="M3" s="197"/>
      <c r="N3" s="198"/>
      <c r="O3" s="198"/>
      <c r="P3" s="198"/>
      <c r="Q3" s="199" t="s">
        <v>800</v>
      </c>
      <c r="R3" s="199" t="s">
        <v>802</v>
      </c>
      <c r="S3" s="196" t="s">
        <v>804</v>
      </c>
      <c r="T3" s="192"/>
      <c r="U3" s="200"/>
      <c r="V3" s="200"/>
      <c r="W3" s="201"/>
      <c r="X3" s="201"/>
      <c r="Y3" s="201"/>
      <c r="Z3" s="202" t="str">
        <f t="shared" ref="Z3:Z832" si="0">"RLOM " &amp;RIGHT(Q3, LEN(Q3)-3)&amp;"s"</f>
        <v>RLOM Walls</v>
      </c>
      <c r="AA3" s="172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</row>
    <row r="4" spans="1:40" ht="18" customHeight="1">
      <c r="A4" s="190">
        <v>2</v>
      </c>
      <c r="B4" s="190" t="s">
        <v>398</v>
      </c>
      <c r="C4" s="190">
        <v>21</v>
      </c>
      <c r="D4" s="191" t="s">
        <v>400</v>
      </c>
      <c r="E4" s="192">
        <v>214</v>
      </c>
      <c r="F4" s="192" t="s">
        <v>446</v>
      </c>
      <c r="G4" s="193" t="s">
        <v>448</v>
      </c>
      <c r="H4" s="194" t="str">
        <f>HYPERLINK("http://bsdd.buildingsmart.org/#concept/details/0e9pE0BS4Htm00025QrE$V","0e9pE0BS4Htm00025QrE$V")</f>
        <v>0e9pE0BS4Htm00025QrE$V</v>
      </c>
      <c r="I4" s="123" t="s">
        <v>812</v>
      </c>
      <c r="J4" s="195" t="s">
        <v>926</v>
      </c>
      <c r="K4" s="191" t="s">
        <v>952</v>
      </c>
      <c r="L4" s="246" t="s">
        <v>954</v>
      </c>
      <c r="M4" s="197"/>
      <c r="N4" s="198"/>
      <c r="O4" s="198"/>
      <c r="P4" s="198"/>
      <c r="Q4" s="199" t="s">
        <v>815</v>
      </c>
      <c r="R4" s="199" t="s">
        <v>816</v>
      </c>
      <c r="S4" s="196" t="s">
        <v>818</v>
      </c>
      <c r="T4" s="203"/>
      <c r="U4" s="200"/>
      <c r="V4" s="200"/>
      <c r="W4" s="201"/>
      <c r="X4" s="201"/>
      <c r="Y4" s="201"/>
      <c r="Z4" s="202" t="str">
        <f t="shared" si="0"/>
        <v>RLOM Piles</v>
      </c>
      <c r="AA4" s="172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</row>
    <row r="5" spans="1:40" ht="18" customHeight="1">
      <c r="A5" s="190">
        <v>2</v>
      </c>
      <c r="B5" s="190" t="s">
        <v>398</v>
      </c>
      <c r="C5" s="190">
        <v>21</v>
      </c>
      <c r="D5" s="191" t="s">
        <v>400</v>
      </c>
      <c r="E5" s="192">
        <v>214</v>
      </c>
      <c r="F5" s="192" t="s">
        <v>446</v>
      </c>
      <c r="G5" s="193" t="s">
        <v>448</v>
      </c>
      <c r="H5" s="204" t="str">
        <f>HYPERLINK("http://bsdd.buildingsmart.org/#concept/details/0fMS7pOa11tgGGIp9khkl9","0fMS7pOa11tgGGIp9khkl9")</f>
        <v>0fMS7pOa11tgGGIp9khkl9</v>
      </c>
      <c r="I5" s="123" t="s">
        <v>4854</v>
      </c>
      <c r="J5" s="195" t="s">
        <v>992</v>
      </c>
      <c r="K5" s="191" t="s">
        <v>465</v>
      </c>
      <c r="L5" s="246" t="s">
        <v>880</v>
      </c>
      <c r="M5" s="197"/>
      <c r="N5" s="198"/>
      <c r="O5" s="198"/>
      <c r="P5" s="198"/>
      <c r="Q5" s="199" t="s">
        <v>800</v>
      </c>
      <c r="R5" s="196"/>
      <c r="S5" s="196"/>
      <c r="T5" s="192"/>
      <c r="U5" s="200"/>
      <c r="V5" s="200"/>
      <c r="W5" s="201"/>
      <c r="X5" s="201"/>
      <c r="Y5" s="201"/>
      <c r="Z5" s="202" t="str">
        <f t="shared" si="0"/>
        <v>RLOM Walls</v>
      </c>
      <c r="AA5" s="172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</row>
    <row r="6" spans="1:40" ht="18" customHeight="1">
      <c r="A6" s="190">
        <v>2</v>
      </c>
      <c r="B6" s="190" t="s">
        <v>398</v>
      </c>
      <c r="C6" s="190">
        <v>21</v>
      </c>
      <c r="D6" s="191" t="s">
        <v>400</v>
      </c>
      <c r="E6" s="192">
        <v>215</v>
      </c>
      <c r="F6" s="192" t="s">
        <v>831</v>
      </c>
      <c r="G6" s="193" t="s">
        <v>832</v>
      </c>
      <c r="H6" s="205" t="str">
        <f>HYPERLINK("http://bsdd.buildingsmart.org/#concept/details/1xX6ExoJb3fQk6EPVfIeg2","1xX6ExoJb3fQk6EPVfIeg2")</f>
        <v>1xX6ExoJb3fQk6EPVfIeg2</v>
      </c>
      <c r="I6" s="123" t="s">
        <v>833</v>
      </c>
      <c r="J6" s="195" t="s">
        <v>1062</v>
      </c>
      <c r="K6" s="191" t="s">
        <v>834</v>
      </c>
      <c r="L6" s="247" t="s">
        <v>1067</v>
      </c>
      <c r="M6" s="199"/>
      <c r="N6" s="199" t="s">
        <v>633</v>
      </c>
      <c r="O6" s="203" t="s">
        <v>635</v>
      </c>
      <c r="P6" s="206" t="s">
        <v>636</v>
      </c>
      <c r="Q6" s="199" t="s">
        <v>839</v>
      </c>
      <c r="R6" s="199" t="s">
        <v>841</v>
      </c>
      <c r="S6" s="199" t="s">
        <v>843</v>
      </c>
      <c r="T6" s="192"/>
      <c r="U6" s="200"/>
      <c r="V6" s="200"/>
      <c r="W6" s="201"/>
      <c r="X6" s="201"/>
      <c r="Y6" s="201"/>
      <c r="Z6" s="202" t="str">
        <f t="shared" si="0"/>
        <v>RLOM MechanicalFasteners</v>
      </c>
      <c r="AA6" s="172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</row>
    <row r="7" spans="1:40" ht="18" customHeight="1">
      <c r="A7" s="190">
        <v>2</v>
      </c>
      <c r="B7" s="190" t="s">
        <v>398</v>
      </c>
      <c r="C7" s="190">
        <v>21</v>
      </c>
      <c r="D7" s="191" t="s">
        <v>400</v>
      </c>
      <c r="E7" s="192">
        <v>215</v>
      </c>
      <c r="F7" s="192" t="s">
        <v>831</v>
      </c>
      <c r="G7" s="193" t="s">
        <v>832</v>
      </c>
      <c r="H7" s="205" t="str">
        <f>HYPERLINK("http://bsdd.buildingsmart.org/#concept/details/0llsXYrU17agtuyvloY9Ey","0llsXYrU17agtuyvloY9Ey")</f>
        <v>0llsXYrU17agtuyvloY9Ey</v>
      </c>
      <c r="I7" s="123" t="s">
        <v>848</v>
      </c>
      <c r="J7" s="195" t="s">
        <v>1105</v>
      </c>
      <c r="K7" s="206"/>
      <c r="L7" s="247" t="s">
        <v>1120</v>
      </c>
      <c r="M7" s="199"/>
      <c r="N7" s="199" t="s">
        <v>850</v>
      </c>
      <c r="O7" s="203" t="s">
        <v>851</v>
      </c>
      <c r="P7" s="206" t="s">
        <v>852</v>
      </c>
      <c r="Q7" s="199" t="s">
        <v>853</v>
      </c>
      <c r="R7" s="199" t="s">
        <v>854</v>
      </c>
      <c r="S7" s="199" t="s">
        <v>855</v>
      </c>
      <c r="T7" s="192"/>
      <c r="U7" s="200"/>
      <c r="V7" s="200"/>
      <c r="W7" s="201"/>
      <c r="X7" s="201"/>
      <c r="Y7" s="201"/>
      <c r="Z7" s="202" t="str">
        <f t="shared" si="0"/>
        <v>RLOM Footings</v>
      </c>
      <c r="AA7" s="172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</row>
    <row r="8" spans="1:40" ht="18" customHeight="1">
      <c r="A8" s="190">
        <v>2</v>
      </c>
      <c r="B8" s="190" t="s">
        <v>398</v>
      </c>
      <c r="C8" s="190">
        <v>21</v>
      </c>
      <c r="D8" s="191" t="s">
        <v>400</v>
      </c>
      <c r="E8" s="192">
        <v>215</v>
      </c>
      <c r="F8" s="192" t="s">
        <v>831</v>
      </c>
      <c r="G8" s="193" t="s">
        <v>832</v>
      </c>
      <c r="H8" s="205" t="str">
        <f>HYPERLINK("http://bsdd.buildingsmart.org/#concept/details/13j6c0WJqHu000025QrE$V","13j6c0WJqHu000025QrE$V")</f>
        <v>13j6c0WJqHu000025QrE$V</v>
      </c>
      <c r="I8" s="123" t="s">
        <v>857</v>
      </c>
      <c r="J8" s="195" t="s">
        <v>1147</v>
      </c>
      <c r="K8" s="206"/>
      <c r="L8" s="247" t="s">
        <v>1148</v>
      </c>
      <c r="M8" s="199"/>
      <c r="N8" s="199" t="s">
        <v>859</v>
      </c>
      <c r="O8" s="203" t="s">
        <v>857</v>
      </c>
      <c r="P8" s="191"/>
      <c r="Q8" s="199" t="s">
        <v>853</v>
      </c>
      <c r="R8" s="199" t="s">
        <v>854</v>
      </c>
      <c r="S8" s="199" t="s">
        <v>861</v>
      </c>
      <c r="T8" s="192"/>
      <c r="U8" s="200"/>
      <c r="V8" s="200"/>
      <c r="W8" s="201"/>
      <c r="X8" s="201"/>
      <c r="Y8" s="201"/>
      <c r="Z8" s="202" t="str">
        <f t="shared" si="0"/>
        <v>RLOM Footings</v>
      </c>
      <c r="AA8" s="172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</row>
    <row r="9" spans="1:40" ht="36" customHeight="1">
      <c r="A9" s="190">
        <v>2</v>
      </c>
      <c r="B9" s="190" t="s">
        <v>398</v>
      </c>
      <c r="C9" s="190">
        <v>21</v>
      </c>
      <c r="D9" s="191" t="s">
        <v>400</v>
      </c>
      <c r="E9" s="192">
        <v>215</v>
      </c>
      <c r="F9" s="192" t="s">
        <v>831</v>
      </c>
      <c r="G9" s="193" t="s">
        <v>832</v>
      </c>
      <c r="H9" s="205" t="str">
        <f>HYPERLINK("http://bsdd.buildingsmart.org/#concept/details/3vHXEAoT0Hsm00051Mm008","3vHXEAoT0Hsm00051Mm008")</f>
        <v>3vHXEAoT0Hsm00051Mm008</v>
      </c>
      <c r="I9" s="123" t="s">
        <v>904</v>
      </c>
      <c r="J9" s="195" t="s">
        <v>1180</v>
      </c>
      <c r="K9" s="206"/>
      <c r="L9" s="247" t="s">
        <v>1183</v>
      </c>
      <c r="M9" s="199"/>
      <c r="N9" s="199" t="s">
        <v>906</v>
      </c>
      <c r="O9" s="203" t="s">
        <v>907</v>
      </c>
      <c r="P9" s="206" t="s">
        <v>909</v>
      </c>
      <c r="Q9" s="199" t="s">
        <v>815</v>
      </c>
      <c r="R9" s="199"/>
      <c r="S9" s="199"/>
      <c r="T9" s="192"/>
      <c r="U9" s="200"/>
      <c r="V9" s="200"/>
      <c r="W9" s="201"/>
      <c r="X9" s="201"/>
      <c r="Y9" s="201"/>
      <c r="Z9" s="202" t="str">
        <f t="shared" si="0"/>
        <v>RLOM Piles</v>
      </c>
      <c r="AA9" s="172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</row>
    <row r="10" spans="1:40" ht="36" customHeight="1">
      <c r="A10" s="190">
        <v>2</v>
      </c>
      <c r="B10" s="190" t="s">
        <v>398</v>
      </c>
      <c r="C10" s="190">
        <v>21</v>
      </c>
      <c r="D10" s="191" t="s">
        <v>400</v>
      </c>
      <c r="E10" s="192">
        <v>216</v>
      </c>
      <c r="F10" s="192" t="s">
        <v>914</v>
      </c>
      <c r="G10" s="193" t="s">
        <v>915</v>
      </c>
      <c r="H10" s="205" t="str">
        <f>HYPERLINK("http://bsdd.buildingsmart.org/#concept/details/3ZmvZTHnX5dwcVrCXJIeMm","3ZmvZTHnX5dwcVrCXJIeMm")</f>
        <v>3ZmvZTHnX5dwcVrCXJIeMm</v>
      </c>
      <c r="I10" s="123" t="s">
        <v>918</v>
      </c>
      <c r="J10" s="195" t="s">
        <v>1193</v>
      </c>
      <c r="K10" s="206" t="s">
        <v>920</v>
      </c>
      <c r="L10" s="247" t="s">
        <v>1194</v>
      </c>
      <c r="M10" s="199"/>
      <c r="N10" s="199" t="s">
        <v>906</v>
      </c>
      <c r="O10" s="203" t="s">
        <v>907</v>
      </c>
      <c r="P10" s="206" t="s">
        <v>909</v>
      </c>
      <c r="Q10" s="207" t="s">
        <v>928</v>
      </c>
      <c r="R10" s="199" t="s">
        <v>973</v>
      </c>
      <c r="S10" s="199" t="s">
        <v>975</v>
      </c>
      <c r="T10" s="192"/>
      <c r="U10" s="200"/>
      <c r="V10" s="200"/>
      <c r="W10" s="201"/>
      <c r="X10" s="201"/>
      <c r="Y10" s="201"/>
      <c r="Z10" s="202" t="str">
        <f t="shared" si="0"/>
        <v>RLOM Slabs</v>
      </c>
      <c r="AA10" s="172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</row>
    <row r="11" spans="1:40" ht="36" customHeight="1">
      <c r="A11" s="190">
        <v>2</v>
      </c>
      <c r="B11" s="190" t="s">
        <v>398</v>
      </c>
      <c r="C11" s="190">
        <v>21</v>
      </c>
      <c r="D11" s="191" t="s">
        <v>400</v>
      </c>
      <c r="E11" s="192">
        <v>216</v>
      </c>
      <c r="F11" s="192" t="s">
        <v>914</v>
      </c>
      <c r="G11" s="193" t="s">
        <v>915</v>
      </c>
      <c r="H11" s="208" t="str">
        <f>HYPERLINK("http://bsdd.buildingsmart.org/#concept/details/0tq$SQAhn59PRS9OSo_OCI","0tq$SQAhn59PRS9OSo_OCI")</f>
        <v>0tq$SQAhn59PRS9OSo_OCI</v>
      </c>
      <c r="I11" s="123" t="s">
        <v>989</v>
      </c>
      <c r="J11" s="195" t="s">
        <v>1228</v>
      </c>
      <c r="K11" s="206" t="s">
        <v>990</v>
      </c>
      <c r="L11" s="247" t="s">
        <v>1231</v>
      </c>
      <c r="M11" s="199"/>
      <c r="N11" s="199" t="s">
        <v>906</v>
      </c>
      <c r="O11" s="203" t="s">
        <v>907</v>
      </c>
      <c r="P11" s="206" t="s">
        <v>909</v>
      </c>
      <c r="Q11" s="199" t="s">
        <v>853</v>
      </c>
      <c r="R11" s="199" t="s">
        <v>854</v>
      </c>
      <c r="S11" s="199" t="s">
        <v>993</v>
      </c>
      <c r="T11" s="192"/>
      <c r="U11" s="200"/>
      <c r="V11" s="200"/>
      <c r="W11" s="201"/>
      <c r="X11" s="201"/>
      <c r="Y11" s="201"/>
      <c r="Z11" s="202" t="str">
        <f t="shared" si="0"/>
        <v>RLOM Footings</v>
      </c>
      <c r="AA11" s="172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</row>
    <row r="12" spans="1:40" ht="36" customHeight="1">
      <c r="A12" s="190">
        <v>2</v>
      </c>
      <c r="B12" s="190" t="s">
        <v>398</v>
      </c>
      <c r="C12" s="190">
        <v>21</v>
      </c>
      <c r="D12" s="191" t="s">
        <v>400</v>
      </c>
      <c r="E12" s="192">
        <v>216</v>
      </c>
      <c r="F12" s="192" t="s">
        <v>914</v>
      </c>
      <c r="G12" s="193" t="s">
        <v>915</v>
      </c>
      <c r="H12" s="208" t="str">
        <f>HYPERLINK("http://bsdd.buildingsmart.org/#concept/details/3vHeLooT0Hsm00051Mm008","3vHeLooT0Hsm00051Mm008")</f>
        <v>3vHeLooT0Hsm00051Mm008</v>
      </c>
      <c r="I12" s="123" t="s">
        <v>994</v>
      </c>
      <c r="J12" s="195" t="s">
        <v>1266</v>
      </c>
      <c r="K12" s="206" t="s">
        <v>995</v>
      </c>
      <c r="L12" s="247" t="s">
        <v>1268</v>
      </c>
      <c r="M12" s="199"/>
      <c r="N12" s="199" t="s">
        <v>906</v>
      </c>
      <c r="O12" s="203" t="s">
        <v>907</v>
      </c>
      <c r="P12" s="206" t="s">
        <v>909</v>
      </c>
      <c r="Q12" s="199" t="s">
        <v>853</v>
      </c>
      <c r="R12" s="199" t="s">
        <v>854</v>
      </c>
      <c r="S12" s="199" t="s">
        <v>1019</v>
      </c>
      <c r="T12" s="192"/>
      <c r="U12" s="200"/>
      <c r="V12" s="200"/>
      <c r="W12" s="201"/>
      <c r="X12" s="201"/>
      <c r="Y12" s="201"/>
      <c r="Z12" s="202" t="str">
        <f t="shared" si="0"/>
        <v>RLOM Footings</v>
      </c>
      <c r="AA12" s="172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</row>
    <row r="13" spans="1:40" ht="27" customHeight="1">
      <c r="A13" s="190">
        <v>2</v>
      </c>
      <c r="B13" s="190" t="s">
        <v>398</v>
      </c>
      <c r="C13" s="190">
        <v>21</v>
      </c>
      <c r="D13" s="191" t="s">
        <v>400</v>
      </c>
      <c r="E13" s="192">
        <v>218</v>
      </c>
      <c r="F13" s="192" t="s">
        <v>1021</v>
      </c>
      <c r="G13" s="193" t="s">
        <v>1023</v>
      </c>
      <c r="H13" s="208" t="str">
        <f>HYPERLINK("http://bsdd.buildingsmart.org/#concept/details/1AU3K5RCnB692ei1j3RLAc","1AU3K5RCnB692ei1j3RLAc")</f>
        <v>1AU3K5RCnB692ei1j3RLAc</v>
      </c>
      <c r="I13" s="119" t="s">
        <v>4855</v>
      </c>
      <c r="J13" s="209" t="s">
        <v>1283</v>
      </c>
      <c r="K13" s="206" t="s">
        <v>1025</v>
      </c>
      <c r="L13" s="247" t="s">
        <v>1285</v>
      </c>
      <c r="M13" s="199"/>
      <c r="N13" s="199" t="s">
        <v>1027</v>
      </c>
      <c r="O13" s="203" t="s">
        <v>1032</v>
      </c>
      <c r="P13" s="206" t="s">
        <v>1033</v>
      </c>
      <c r="Q13" s="199" t="s">
        <v>1034</v>
      </c>
      <c r="R13" s="199" t="s">
        <v>1035</v>
      </c>
      <c r="S13" s="199" t="s">
        <v>1037</v>
      </c>
      <c r="T13" s="192"/>
      <c r="U13" s="200"/>
      <c r="V13" s="200"/>
      <c r="W13" s="201"/>
      <c r="X13" s="201"/>
      <c r="Y13" s="201"/>
      <c r="Z13" s="202" t="str">
        <f t="shared" si="0"/>
        <v>RLOM Coverings</v>
      </c>
      <c r="AA13" s="172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</row>
    <row r="14" spans="1:40" ht="36" customHeight="1">
      <c r="A14" s="190">
        <v>2</v>
      </c>
      <c r="B14" s="190" t="s">
        <v>398</v>
      </c>
      <c r="C14" s="190">
        <v>21</v>
      </c>
      <c r="D14" s="191" t="s">
        <v>400</v>
      </c>
      <c r="E14" s="192">
        <v>218</v>
      </c>
      <c r="F14" s="192" t="s">
        <v>1021</v>
      </c>
      <c r="G14" s="193" t="s">
        <v>1023</v>
      </c>
      <c r="H14" s="208" t="str">
        <f>HYPERLINK("http://bsdd.buildingsmart.org/#concept/details/395MG0gSGHtW00025QrE$V","395MG0gSGHtW00025QrE$V")</f>
        <v>395MG0gSGHtW00025QrE$V</v>
      </c>
      <c r="I14" s="123" t="s">
        <v>1038</v>
      </c>
      <c r="J14" s="195" t="s">
        <v>1298</v>
      </c>
      <c r="K14" s="191" t="s">
        <v>1038</v>
      </c>
      <c r="L14" s="247" t="s">
        <v>1299</v>
      </c>
      <c r="M14" s="199"/>
      <c r="N14" s="199" t="s">
        <v>906</v>
      </c>
      <c r="O14" s="203" t="s">
        <v>907</v>
      </c>
      <c r="P14" s="206" t="s">
        <v>909</v>
      </c>
      <c r="Q14" s="199" t="s">
        <v>853</v>
      </c>
      <c r="R14" s="199" t="s">
        <v>854</v>
      </c>
      <c r="S14" s="199" t="s">
        <v>1019</v>
      </c>
      <c r="T14" s="192"/>
      <c r="U14" s="200"/>
      <c r="V14" s="200"/>
      <c r="W14" s="201"/>
      <c r="X14" s="201"/>
      <c r="Y14" s="201"/>
      <c r="Z14" s="202" t="str">
        <f t="shared" si="0"/>
        <v>RLOM Footings</v>
      </c>
      <c r="AA14" s="172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</row>
    <row r="15" spans="1:40" ht="36" customHeight="1">
      <c r="A15" s="190">
        <v>2</v>
      </c>
      <c r="B15" s="190" t="s">
        <v>398</v>
      </c>
      <c r="C15" s="190">
        <v>21</v>
      </c>
      <c r="D15" s="191" t="s">
        <v>400</v>
      </c>
      <c r="E15" s="192">
        <v>218</v>
      </c>
      <c r="F15" s="192" t="s">
        <v>1021</v>
      </c>
      <c r="G15" s="193" t="s">
        <v>1023</v>
      </c>
      <c r="H15" s="208" t="str">
        <f>HYPERLINK("http://bsdd.buildingsmart.org/#concept/details/2LolonnA18zfsP8nTcHMWm","2LolonnA18zfsP8nTcHMWm")</f>
        <v>2LolonnA18zfsP8nTcHMWm</v>
      </c>
      <c r="I15" s="123" t="s">
        <v>1056</v>
      </c>
      <c r="J15" s="195" t="s">
        <v>1308</v>
      </c>
      <c r="K15" s="191" t="s">
        <v>1056</v>
      </c>
      <c r="L15" s="247" t="s">
        <v>1311</v>
      </c>
      <c r="M15" s="199"/>
      <c r="N15" s="199" t="s">
        <v>906</v>
      </c>
      <c r="O15" s="203" t="s">
        <v>907</v>
      </c>
      <c r="P15" s="206" t="s">
        <v>909</v>
      </c>
      <c r="Q15" s="199" t="s">
        <v>853</v>
      </c>
      <c r="R15" s="199" t="s">
        <v>854</v>
      </c>
      <c r="S15" s="199" t="s">
        <v>993</v>
      </c>
      <c r="T15" s="192"/>
      <c r="U15" s="200"/>
      <c r="V15" s="200"/>
      <c r="W15" s="201"/>
      <c r="X15" s="201"/>
      <c r="Y15" s="201"/>
      <c r="Z15" s="202" t="str">
        <f t="shared" si="0"/>
        <v>RLOM Footings</v>
      </c>
      <c r="AA15" s="172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</row>
    <row r="16" spans="1:40" ht="12.75" customHeight="1">
      <c r="A16" s="190">
        <v>2</v>
      </c>
      <c r="B16" s="190" t="s">
        <v>398</v>
      </c>
      <c r="C16" s="190">
        <v>22</v>
      </c>
      <c r="D16" s="191" t="s">
        <v>1058</v>
      </c>
      <c r="E16" s="192">
        <v>222</v>
      </c>
      <c r="F16" s="192" t="s">
        <v>1059</v>
      </c>
      <c r="G16" s="193" t="s">
        <v>1060</v>
      </c>
      <c r="H16" s="208" t="str">
        <f>HYPERLINK("http://bsdd.buildingsmart.org/#concept/details/312dw0BS8Htm00025QrE$V","312dw0BS8Htm00025QrE$V")</f>
        <v>312dw0BS8Htm00025QrE$V</v>
      </c>
      <c r="I16" s="119" t="s">
        <v>1061</v>
      </c>
      <c r="J16" s="209" t="s">
        <v>1324</v>
      </c>
      <c r="K16" s="206" t="s">
        <v>1061</v>
      </c>
      <c r="L16" s="247" t="s">
        <v>1325</v>
      </c>
      <c r="M16" s="210"/>
      <c r="N16" s="199" t="s">
        <v>1066</v>
      </c>
      <c r="O16" s="203" t="s">
        <v>1068</v>
      </c>
      <c r="P16" s="206" t="s">
        <v>1069</v>
      </c>
      <c r="Q16" s="199" t="s">
        <v>1070</v>
      </c>
      <c r="R16" s="199" t="s">
        <v>1071</v>
      </c>
      <c r="S16" s="199" t="s">
        <v>1072</v>
      </c>
      <c r="T16" s="192"/>
      <c r="U16" s="200"/>
      <c r="V16" s="200"/>
      <c r="W16" s="201"/>
      <c r="X16" s="201"/>
      <c r="Y16" s="201"/>
      <c r="Z16" s="202" t="str">
        <f t="shared" si="0"/>
        <v>RLOM Columns</v>
      </c>
      <c r="AA16" s="172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</row>
    <row r="17" spans="1:40" ht="33" customHeight="1">
      <c r="A17" s="190">
        <v>2</v>
      </c>
      <c r="B17" s="190" t="s">
        <v>398</v>
      </c>
      <c r="C17" s="190">
        <v>22</v>
      </c>
      <c r="D17" s="191" t="s">
        <v>1058</v>
      </c>
      <c r="E17" s="192">
        <v>222</v>
      </c>
      <c r="F17" s="192" t="s">
        <v>1059</v>
      </c>
      <c r="G17" s="193" t="s">
        <v>1060</v>
      </c>
      <c r="H17" s="208" t="str">
        <f t="shared" ref="H17:H18" si="1">HYPERLINK("http://bsdd.buildingsmart.org/#concept/details/3vHQHKoT0Hsm00051Mm008","3vHQHKoT0Hsm00051Mm008")</f>
        <v>3vHQHKoT0Hsm00051Mm008</v>
      </c>
      <c r="I17" s="119" t="s">
        <v>4856</v>
      </c>
      <c r="J17" s="209" t="s">
        <v>1345</v>
      </c>
      <c r="K17" s="206" t="s">
        <v>1350</v>
      </c>
      <c r="L17" s="247" t="s">
        <v>1351</v>
      </c>
      <c r="M17" s="199" t="s">
        <v>1352</v>
      </c>
      <c r="N17" s="199" t="s">
        <v>1066</v>
      </c>
      <c r="O17" s="203" t="s">
        <v>1068</v>
      </c>
      <c r="P17" s="206" t="s">
        <v>1069</v>
      </c>
      <c r="Q17" s="199" t="s">
        <v>1070</v>
      </c>
      <c r="R17" s="199" t="s">
        <v>1071</v>
      </c>
      <c r="S17" s="199" t="s">
        <v>1079</v>
      </c>
      <c r="T17" s="211"/>
      <c r="U17" s="200"/>
      <c r="V17" s="200"/>
      <c r="W17" s="201"/>
      <c r="X17" s="201"/>
      <c r="Y17" s="201"/>
      <c r="Z17" s="202" t="str">
        <f t="shared" si="0"/>
        <v>RLOM Columns</v>
      </c>
      <c r="AA17" s="172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</row>
    <row r="18" spans="1:40" ht="12.75" customHeight="1">
      <c r="A18" s="190">
        <v>2</v>
      </c>
      <c r="B18" s="190" t="s">
        <v>398</v>
      </c>
      <c r="C18" s="190">
        <v>22</v>
      </c>
      <c r="D18" s="191" t="s">
        <v>1058</v>
      </c>
      <c r="E18" s="192">
        <v>222</v>
      </c>
      <c r="F18" s="192" t="s">
        <v>1059</v>
      </c>
      <c r="G18" s="193" t="s">
        <v>1060</v>
      </c>
      <c r="H18" s="208" t="str">
        <f t="shared" si="1"/>
        <v>3vHQHKoT0Hsm00051Mm008</v>
      </c>
      <c r="I18" s="119" t="s">
        <v>1068</v>
      </c>
      <c r="J18" s="209" t="s">
        <v>1366</v>
      </c>
      <c r="K18" s="206" t="s">
        <v>1068</v>
      </c>
      <c r="L18" s="247" t="s">
        <v>1325</v>
      </c>
      <c r="M18" s="210"/>
      <c r="N18" s="199" t="s">
        <v>1066</v>
      </c>
      <c r="O18" s="203" t="s">
        <v>1068</v>
      </c>
      <c r="P18" s="206" t="s">
        <v>1069</v>
      </c>
      <c r="Q18" s="199" t="s">
        <v>1070</v>
      </c>
      <c r="R18" s="199" t="s">
        <v>1071</v>
      </c>
      <c r="S18" s="199" t="s">
        <v>1079</v>
      </c>
      <c r="T18" s="211"/>
      <c r="U18" s="200"/>
      <c r="V18" s="200"/>
      <c r="W18" s="201"/>
      <c r="X18" s="201"/>
      <c r="Y18" s="201"/>
      <c r="Z18" s="202" t="str">
        <f t="shared" si="0"/>
        <v>RLOM Columns</v>
      </c>
      <c r="AA18" s="172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</row>
    <row r="19" spans="1:40" ht="33" customHeight="1">
      <c r="A19" s="190">
        <v>2</v>
      </c>
      <c r="B19" s="190" t="s">
        <v>398</v>
      </c>
      <c r="C19" s="190">
        <v>22</v>
      </c>
      <c r="D19" s="191" t="s">
        <v>1058</v>
      </c>
      <c r="E19" s="192">
        <v>223</v>
      </c>
      <c r="F19" s="192" t="s">
        <v>1090</v>
      </c>
      <c r="G19" s="193" t="s">
        <v>1092</v>
      </c>
      <c r="H19" s="208" t="str">
        <f t="shared" ref="H19:H20" si="2">HYPERLINK("http://bsdd.buildingsmart.org/#concept/details/3vHRvioT0Hsm00051Mm008","3vHRvioT0Hsm00051Mm008")</f>
        <v>3vHRvioT0Hsm00051Mm008</v>
      </c>
      <c r="I19" s="119" t="s">
        <v>4857</v>
      </c>
      <c r="J19" s="209" t="s">
        <v>1383</v>
      </c>
      <c r="K19" s="206" t="s">
        <v>1384</v>
      </c>
      <c r="L19" s="247" t="s">
        <v>1386</v>
      </c>
      <c r="M19" s="199" t="s">
        <v>1388</v>
      </c>
      <c r="N19" s="199" t="s">
        <v>850</v>
      </c>
      <c r="O19" s="203" t="s">
        <v>851</v>
      </c>
      <c r="P19" s="206" t="s">
        <v>852</v>
      </c>
      <c r="Q19" s="199" t="s">
        <v>1100</v>
      </c>
      <c r="R19" s="203"/>
      <c r="S19" s="199"/>
      <c r="T19" s="192"/>
      <c r="U19" s="200"/>
      <c r="V19" s="200"/>
      <c r="W19" s="201"/>
      <c r="X19" s="201"/>
      <c r="Y19" s="201"/>
      <c r="Z19" s="202" t="str">
        <f t="shared" si="0"/>
        <v>RLOM Beams</v>
      </c>
      <c r="AA19" s="172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</row>
    <row r="20" spans="1:40" ht="12.75" customHeight="1">
      <c r="A20" s="190">
        <v>2</v>
      </c>
      <c r="B20" s="190" t="s">
        <v>398</v>
      </c>
      <c r="C20" s="190">
        <v>22</v>
      </c>
      <c r="D20" s="191" t="s">
        <v>1058</v>
      </c>
      <c r="E20" s="192">
        <v>223</v>
      </c>
      <c r="F20" s="192" t="s">
        <v>1090</v>
      </c>
      <c r="G20" s="193" t="s">
        <v>1092</v>
      </c>
      <c r="H20" s="208" t="str">
        <f t="shared" si="2"/>
        <v>3vHRvioT0Hsm00051Mm008</v>
      </c>
      <c r="I20" s="119" t="s">
        <v>851</v>
      </c>
      <c r="J20" s="209" t="s">
        <v>1401</v>
      </c>
      <c r="K20" s="206" t="s">
        <v>851</v>
      </c>
      <c r="L20" s="247" t="s">
        <v>1403</v>
      </c>
      <c r="M20" s="210"/>
      <c r="N20" s="199" t="s">
        <v>850</v>
      </c>
      <c r="O20" s="203" t="s">
        <v>851</v>
      </c>
      <c r="P20" s="206" t="s">
        <v>852</v>
      </c>
      <c r="Q20" s="199" t="s">
        <v>1100</v>
      </c>
      <c r="R20" s="203"/>
      <c r="S20" s="199"/>
      <c r="T20" s="192"/>
      <c r="U20" s="200"/>
      <c r="V20" s="200"/>
      <c r="W20" s="201"/>
      <c r="X20" s="201"/>
      <c r="Y20" s="201"/>
      <c r="Z20" s="202" t="str">
        <f t="shared" si="0"/>
        <v>RLOM Beams</v>
      </c>
      <c r="AA20" s="172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</row>
    <row r="21" spans="1:40" ht="21.75" customHeight="1">
      <c r="A21" s="190">
        <v>2</v>
      </c>
      <c r="B21" s="190" t="s">
        <v>398</v>
      </c>
      <c r="C21" s="190">
        <v>22</v>
      </c>
      <c r="D21" s="191" t="s">
        <v>1058</v>
      </c>
      <c r="E21" s="192">
        <v>223</v>
      </c>
      <c r="F21" s="192" t="s">
        <v>1090</v>
      </c>
      <c r="G21" s="193" t="s">
        <v>1122</v>
      </c>
      <c r="H21" s="208" t="str">
        <f>HYPERLINK("http://bsdd.buildingsmart.org/#concept/details/3ZRFeAWJCHu000025QrE$V","3ZRFeAWJCHu000025QrE$V")</f>
        <v>3ZRFeAWJCHu000025QrE$V</v>
      </c>
      <c r="I21" s="119" t="s">
        <v>1125</v>
      </c>
      <c r="J21" s="209" t="s">
        <v>1410</v>
      </c>
      <c r="K21" s="206" t="s">
        <v>1412</v>
      </c>
      <c r="L21" s="247" t="s">
        <v>1413</v>
      </c>
      <c r="M21" s="210"/>
      <c r="N21" s="199" t="s">
        <v>1129</v>
      </c>
      <c r="O21" s="203" t="s">
        <v>1131</v>
      </c>
      <c r="P21" s="206" t="s">
        <v>1132</v>
      </c>
      <c r="Q21" s="199" t="s">
        <v>1138</v>
      </c>
      <c r="R21" s="199" t="s">
        <v>1143</v>
      </c>
      <c r="S21" s="199" t="s">
        <v>1144</v>
      </c>
      <c r="T21" s="192"/>
      <c r="U21" s="200"/>
      <c r="V21" s="200"/>
      <c r="W21" s="201"/>
      <c r="X21" s="201"/>
      <c r="Y21" s="201"/>
      <c r="Z21" s="202" t="str">
        <f t="shared" si="0"/>
        <v>RLOM ElementAssemblys</v>
      </c>
      <c r="AA21" s="172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</row>
    <row r="22" spans="1:40" ht="21.75" customHeight="1">
      <c r="A22" s="190">
        <v>2</v>
      </c>
      <c r="B22" s="190" t="s">
        <v>398</v>
      </c>
      <c r="C22" s="190">
        <v>22</v>
      </c>
      <c r="D22" s="191" t="s">
        <v>1058</v>
      </c>
      <c r="E22" s="192">
        <v>224</v>
      </c>
      <c r="F22" s="192" t="s">
        <v>1159</v>
      </c>
      <c r="G22" s="193" t="s">
        <v>1122</v>
      </c>
      <c r="H22" s="208" t="str">
        <f>HYPERLINK("http://bsdd.buildingsmart.org/#concept/details/3G2KSWSHPBQAe8ogtPCL4s","3G2KSWSHPBQAe8ogtPCL4s")</f>
        <v>3G2KSWSHPBQAe8ogtPCL4s</v>
      </c>
      <c r="I22" s="119" t="s">
        <v>1163</v>
      </c>
      <c r="J22" s="209" t="s">
        <v>1431</v>
      </c>
      <c r="K22" s="206" t="s">
        <v>1432</v>
      </c>
      <c r="L22" s="247" t="s">
        <v>1433</v>
      </c>
      <c r="M22" s="210"/>
      <c r="N22" s="199" t="s">
        <v>1129</v>
      </c>
      <c r="O22" s="203" t="s">
        <v>1131</v>
      </c>
      <c r="P22" s="206" t="s">
        <v>1132</v>
      </c>
      <c r="Q22" s="199" t="s">
        <v>1173</v>
      </c>
      <c r="R22" s="199"/>
      <c r="S22" s="199"/>
      <c r="T22" s="192"/>
      <c r="U22" s="200"/>
      <c r="V22" s="200"/>
      <c r="W22" s="201"/>
      <c r="X22" s="201"/>
      <c r="Y22" s="201"/>
      <c r="Z22" s="202" t="str">
        <f t="shared" si="0"/>
        <v>RLOM Tendons</v>
      </c>
      <c r="AA22" s="172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</row>
    <row r="23" spans="1:40" ht="36" customHeight="1">
      <c r="A23" s="190">
        <v>2</v>
      </c>
      <c r="B23" s="190" t="s">
        <v>398</v>
      </c>
      <c r="C23" s="190">
        <v>22</v>
      </c>
      <c r="D23" s="191" t="s">
        <v>1058</v>
      </c>
      <c r="E23" s="192">
        <v>225</v>
      </c>
      <c r="F23" s="192" t="s">
        <v>1178</v>
      </c>
      <c r="G23" s="193" t="s">
        <v>1179</v>
      </c>
      <c r="H23" s="208" t="str">
        <f>HYPERLINK("http://bsdd.buildingsmart.org/#concept/details/2URCTlf6D5Ew5c3QYM2meA","2URCTlf6D5Ew5c3QYM2meA")</f>
        <v>2URCTlf6D5Ew5c3QYM2meA</v>
      </c>
      <c r="I23" s="119" t="s">
        <v>1181</v>
      </c>
      <c r="J23" s="209" t="s">
        <v>1451</v>
      </c>
      <c r="K23" s="206" t="s">
        <v>1181</v>
      </c>
      <c r="L23" s="247" t="s">
        <v>1452</v>
      </c>
      <c r="M23" s="210"/>
      <c r="N23" s="199" t="s">
        <v>1186</v>
      </c>
      <c r="O23" s="203" t="s">
        <v>1187</v>
      </c>
      <c r="P23" s="206" t="s">
        <v>1188</v>
      </c>
      <c r="Q23" s="199" t="s">
        <v>1034</v>
      </c>
      <c r="R23" s="199" t="s">
        <v>1035</v>
      </c>
      <c r="S23" s="199" t="s">
        <v>1037</v>
      </c>
      <c r="T23" s="192"/>
      <c r="U23" s="200"/>
      <c r="V23" s="200"/>
      <c r="W23" s="201"/>
      <c r="X23" s="201"/>
      <c r="Y23" s="201"/>
      <c r="Z23" s="202" t="str">
        <f t="shared" si="0"/>
        <v>RLOM Coverings</v>
      </c>
      <c r="AA23" s="172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</row>
    <row r="24" spans="1:40" ht="72" customHeight="1">
      <c r="A24" s="190">
        <v>2</v>
      </c>
      <c r="B24" s="190" t="s">
        <v>398</v>
      </c>
      <c r="C24" s="190">
        <v>22</v>
      </c>
      <c r="D24" s="191" t="s">
        <v>1058</v>
      </c>
      <c r="E24" s="192">
        <v>226</v>
      </c>
      <c r="F24" s="192" t="s">
        <v>1189</v>
      </c>
      <c r="G24" s="193" t="s">
        <v>1190</v>
      </c>
      <c r="H24" s="208" t="str">
        <f>HYPERLINK("http://bsdd.buildingsmart.org/#concept/details/3vHaOMoT0Hsm00051Mm008","3vHaOMoT0Hsm00051Mm008")</f>
        <v>3vHaOMoT0Hsm00051Mm008</v>
      </c>
      <c r="I24" s="119" t="s">
        <v>1191</v>
      </c>
      <c r="J24" s="209" t="s">
        <v>1469</v>
      </c>
      <c r="K24" s="206" t="s">
        <v>1191</v>
      </c>
      <c r="L24" s="247" t="s">
        <v>1472</v>
      </c>
      <c r="M24" s="210"/>
      <c r="N24" s="199" t="s">
        <v>1203</v>
      </c>
      <c r="O24" s="203" t="s">
        <v>1204</v>
      </c>
      <c r="P24" s="206" t="s">
        <v>1205</v>
      </c>
      <c r="Q24" s="199" t="s">
        <v>1034</v>
      </c>
      <c r="R24" s="199" t="s">
        <v>1035</v>
      </c>
      <c r="S24" s="199" t="s">
        <v>1214</v>
      </c>
      <c r="T24" s="192"/>
      <c r="U24" s="200"/>
      <c r="V24" s="200"/>
      <c r="W24" s="201"/>
      <c r="X24" s="201"/>
      <c r="Y24" s="201"/>
      <c r="Z24" s="202" t="str">
        <f t="shared" si="0"/>
        <v>RLOM Coverings</v>
      </c>
      <c r="AA24" s="172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</row>
    <row r="25" spans="1:40" ht="54" customHeight="1">
      <c r="A25" s="190">
        <v>2</v>
      </c>
      <c r="B25" s="190" t="s">
        <v>398</v>
      </c>
      <c r="C25" s="190">
        <v>22</v>
      </c>
      <c r="D25" s="191" t="s">
        <v>1058</v>
      </c>
      <c r="E25" s="192">
        <v>228</v>
      </c>
      <c r="F25" s="192" t="s">
        <v>1021</v>
      </c>
      <c r="G25" s="193" t="s">
        <v>1222</v>
      </c>
      <c r="H25" s="212" t="str">
        <f>HYPERLINK("http://bsdd.buildingsmart.org/#concept/details/3vHPwWoT0Hsm00051Mm008","3vHPwWoT0Hsm00051Mm008")</f>
        <v>3vHPwWoT0Hsm00051Mm008</v>
      </c>
      <c r="I25" s="120" t="s">
        <v>4858</v>
      </c>
      <c r="J25" s="195" t="s">
        <v>1489</v>
      </c>
      <c r="K25" s="213" t="s">
        <v>1224</v>
      </c>
      <c r="L25" s="248" t="s">
        <v>1491</v>
      </c>
      <c r="M25" s="210"/>
      <c r="N25" s="192" t="s">
        <v>1248</v>
      </c>
      <c r="O25" s="203" t="s">
        <v>1249</v>
      </c>
      <c r="P25" s="206" t="s">
        <v>1250</v>
      </c>
      <c r="Q25" s="199" t="s">
        <v>652</v>
      </c>
      <c r="R25" s="199" t="s">
        <v>1251</v>
      </c>
      <c r="S25" s="199" t="s">
        <v>768</v>
      </c>
      <c r="T25" s="199"/>
      <c r="U25" s="200"/>
      <c r="V25" s="200"/>
      <c r="W25" s="201"/>
      <c r="X25" s="201"/>
      <c r="Y25" s="201"/>
      <c r="Z25" s="202" t="str">
        <f t="shared" si="0"/>
        <v>RLOM DiscreteAccessorys</v>
      </c>
      <c r="AA25" s="172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</row>
    <row r="26" spans="1:40" ht="54" customHeight="1">
      <c r="A26" s="190">
        <v>2</v>
      </c>
      <c r="B26" s="190" t="s">
        <v>398</v>
      </c>
      <c r="C26" s="190">
        <v>22</v>
      </c>
      <c r="D26" s="191" t="s">
        <v>1058</v>
      </c>
      <c r="E26" s="192">
        <v>228</v>
      </c>
      <c r="F26" s="192" t="s">
        <v>1021</v>
      </c>
      <c r="G26" s="193" t="s">
        <v>1222</v>
      </c>
      <c r="H26" s="208" t="str">
        <f>HYPERLINK("http://bsdd.buildingsmart.org/#concept/details/3vHOxEoT0Hsm00051Mm008","3vHOxEoT0Hsm00051Mm008")</f>
        <v>3vHOxEoT0Hsm00051Mm008</v>
      </c>
      <c r="I26" s="119" t="s">
        <v>1264</v>
      </c>
      <c r="J26" s="209" t="s">
        <v>1499</v>
      </c>
      <c r="K26" s="206" t="s">
        <v>1264</v>
      </c>
      <c r="L26" s="247" t="s">
        <v>1502</v>
      </c>
      <c r="M26" s="210"/>
      <c r="N26" s="199" t="s">
        <v>1248</v>
      </c>
      <c r="O26" s="203" t="s">
        <v>1249</v>
      </c>
      <c r="P26" s="206" t="s">
        <v>1250</v>
      </c>
      <c r="Q26" s="199" t="s">
        <v>839</v>
      </c>
      <c r="R26" s="199" t="s">
        <v>841</v>
      </c>
      <c r="S26" s="199" t="s">
        <v>1270</v>
      </c>
      <c r="T26" s="199"/>
      <c r="U26" s="200"/>
      <c r="V26" s="200"/>
      <c r="W26" s="201"/>
      <c r="X26" s="201"/>
      <c r="Y26" s="201"/>
      <c r="Z26" s="202" t="str">
        <f t="shared" si="0"/>
        <v>RLOM MechanicalFasteners</v>
      </c>
      <c r="AA26" s="172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</row>
    <row r="27" spans="1:40" ht="27" customHeight="1">
      <c r="A27" s="190">
        <v>2</v>
      </c>
      <c r="B27" s="190" t="s">
        <v>398</v>
      </c>
      <c r="C27" s="190">
        <v>22</v>
      </c>
      <c r="D27" s="191" t="s">
        <v>1058</v>
      </c>
      <c r="E27" s="192">
        <v>228</v>
      </c>
      <c r="F27" s="192" t="s">
        <v>1021</v>
      </c>
      <c r="G27" s="193" t="s">
        <v>1222</v>
      </c>
      <c r="H27" s="214" t="str">
        <f>HYPERLINK("http://bsdd.buildingsmart.org/#concept/details/3vHIlIoT0Hsm00051Mm008","3vHIlIoT0Hsm00051Mm008")</f>
        <v>3vHIlIoT0Hsm00051Mm008</v>
      </c>
      <c r="I27" s="120" t="s">
        <v>1291</v>
      </c>
      <c r="J27" s="195" t="s">
        <v>1537</v>
      </c>
      <c r="K27" s="213" t="s">
        <v>1303</v>
      </c>
      <c r="L27" s="248" t="s">
        <v>1539</v>
      </c>
      <c r="M27" s="210"/>
      <c r="N27" s="199" t="s">
        <v>633</v>
      </c>
      <c r="O27" s="203" t="s">
        <v>635</v>
      </c>
      <c r="P27" s="206" t="s">
        <v>636</v>
      </c>
      <c r="Q27" s="199" t="s">
        <v>652</v>
      </c>
      <c r="R27" s="199" t="s">
        <v>1251</v>
      </c>
      <c r="S27" s="199" t="s">
        <v>707</v>
      </c>
      <c r="T27" s="199"/>
      <c r="U27" s="200"/>
      <c r="V27" s="200"/>
      <c r="W27" s="201"/>
      <c r="X27" s="201"/>
      <c r="Y27" s="201"/>
      <c r="Z27" s="202" t="str">
        <f t="shared" si="0"/>
        <v>RLOM DiscreteAccessorys</v>
      </c>
      <c r="AA27" s="172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</row>
    <row r="28" spans="1:40" ht="27" customHeight="1">
      <c r="A28" s="190">
        <v>2</v>
      </c>
      <c r="B28" s="190" t="s">
        <v>398</v>
      </c>
      <c r="C28" s="190">
        <v>22</v>
      </c>
      <c r="D28" s="191" t="s">
        <v>1058</v>
      </c>
      <c r="E28" s="192">
        <v>228</v>
      </c>
      <c r="F28" s="192" t="s">
        <v>1021</v>
      </c>
      <c r="G28" s="193" t="s">
        <v>1222</v>
      </c>
      <c r="H28" s="215" t="str">
        <f>HYPERLINK("http://bsdd.buildingsmart.org/#concept/details/2M$gC2Ruz9FBcoHB_x6U_7","2M$gC2Ruz9FBcoHB_x6U_7")</f>
        <v>2M$gC2Ruz9FBcoHB_x6U_7</v>
      </c>
      <c r="I28" s="120" t="s">
        <v>4859</v>
      </c>
      <c r="J28" s="195" t="s">
        <v>1571</v>
      </c>
      <c r="K28" s="213" t="s">
        <v>1313</v>
      </c>
      <c r="L28" s="249" t="s">
        <v>1572</v>
      </c>
      <c r="M28" s="210"/>
      <c r="N28" s="199" t="s">
        <v>1027</v>
      </c>
      <c r="O28" s="203" t="s">
        <v>1032</v>
      </c>
      <c r="P28" s="206" t="s">
        <v>1033</v>
      </c>
      <c r="Q28" s="199" t="s">
        <v>1034</v>
      </c>
      <c r="R28" s="199" t="s">
        <v>1035</v>
      </c>
      <c r="S28" s="199" t="s">
        <v>1037</v>
      </c>
      <c r="T28" s="199"/>
      <c r="U28" s="200"/>
      <c r="V28" s="200"/>
      <c r="W28" s="201"/>
      <c r="X28" s="201"/>
      <c r="Y28" s="201"/>
      <c r="Z28" s="202" t="str">
        <f t="shared" si="0"/>
        <v>RLOM Coverings</v>
      </c>
      <c r="AA28" s="172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</row>
    <row r="29" spans="1:40" ht="54" customHeight="1">
      <c r="A29" s="190">
        <v>2</v>
      </c>
      <c r="B29" s="190" t="s">
        <v>398</v>
      </c>
      <c r="C29" s="190">
        <v>22</v>
      </c>
      <c r="D29" s="191" t="s">
        <v>1058</v>
      </c>
      <c r="E29" s="192">
        <v>228</v>
      </c>
      <c r="F29" s="192" t="s">
        <v>1021</v>
      </c>
      <c r="G29" s="193" t="s">
        <v>1222</v>
      </c>
      <c r="H29" s="208" t="str">
        <f>HYPERLINK("http://bsdd.buildingsmart.org/#concept/details/3vHQxMoT0Hsm00051Mm008","3vHQxMoT0Hsm00051Mm008")</f>
        <v>3vHQxMoT0Hsm00051Mm008</v>
      </c>
      <c r="I29" s="120" t="s">
        <v>1318</v>
      </c>
      <c r="J29" s="195" t="s">
        <v>1593</v>
      </c>
      <c r="K29" s="213" t="s">
        <v>1322</v>
      </c>
      <c r="L29" s="247" t="s">
        <v>1594</v>
      </c>
      <c r="M29" s="210"/>
      <c r="N29" s="199" t="s">
        <v>1248</v>
      </c>
      <c r="O29" s="203" t="s">
        <v>1249</v>
      </c>
      <c r="P29" s="206" t="s">
        <v>1250</v>
      </c>
      <c r="Q29" s="199" t="s">
        <v>652</v>
      </c>
      <c r="R29" s="199" t="s">
        <v>1251</v>
      </c>
      <c r="S29" s="199" t="s">
        <v>768</v>
      </c>
      <c r="T29" s="199"/>
      <c r="U29" s="200"/>
      <c r="V29" s="200"/>
      <c r="W29" s="201"/>
      <c r="X29" s="201"/>
      <c r="Y29" s="201"/>
      <c r="Z29" s="202" t="str">
        <f t="shared" si="0"/>
        <v>RLOM DiscreteAccessorys</v>
      </c>
      <c r="AA29" s="172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</row>
    <row r="30" spans="1:40" ht="27" customHeight="1">
      <c r="A30" s="190">
        <v>2</v>
      </c>
      <c r="B30" s="190" t="s">
        <v>398</v>
      </c>
      <c r="C30" s="190">
        <v>22</v>
      </c>
      <c r="D30" s="191" t="s">
        <v>1058</v>
      </c>
      <c r="E30" s="192">
        <v>228</v>
      </c>
      <c r="F30" s="192" t="s">
        <v>1021</v>
      </c>
      <c r="G30" s="193" t="s">
        <v>1222</v>
      </c>
      <c r="H30" s="212" t="str">
        <f>HYPERLINK("http://bsdd.buildingsmart.org/#concept/details/3Lm$yOl4b5HvpTKkiAadDo","3Lm$yOl4b5HvpTKkiAadDo")</f>
        <v>3Lm$yOl4b5HvpTKkiAadDo</v>
      </c>
      <c r="I30" s="121" t="s">
        <v>1336</v>
      </c>
      <c r="J30" s="216" t="s">
        <v>1606</v>
      </c>
      <c r="K30" s="193" t="s">
        <v>1340</v>
      </c>
      <c r="L30" s="248" t="s">
        <v>1609</v>
      </c>
      <c r="M30" s="210"/>
      <c r="N30" s="199" t="s">
        <v>633</v>
      </c>
      <c r="O30" s="203" t="s">
        <v>635</v>
      </c>
      <c r="P30" s="206" t="s">
        <v>636</v>
      </c>
      <c r="Q30" s="199" t="s">
        <v>839</v>
      </c>
      <c r="R30" s="199"/>
      <c r="S30" s="192"/>
      <c r="T30" s="199"/>
      <c r="U30" s="200"/>
      <c r="V30" s="200"/>
      <c r="W30" s="201"/>
      <c r="X30" s="201"/>
      <c r="Y30" s="201"/>
      <c r="Z30" s="202" t="str">
        <f t="shared" si="0"/>
        <v>RLOM MechanicalFasteners</v>
      </c>
      <c r="AA30" s="172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</row>
    <row r="31" spans="1:40" ht="27" customHeight="1">
      <c r="A31" s="190">
        <v>2</v>
      </c>
      <c r="B31" s="190" t="s">
        <v>398</v>
      </c>
      <c r="C31" s="190">
        <v>22</v>
      </c>
      <c r="D31" s="191" t="s">
        <v>1058</v>
      </c>
      <c r="E31" s="192">
        <v>228</v>
      </c>
      <c r="F31" s="192" t="s">
        <v>1021</v>
      </c>
      <c r="G31" s="193" t="s">
        <v>1222</v>
      </c>
      <c r="H31" s="212" t="str">
        <f>HYPERLINK("http://bsdd.buildingsmart.org/#concept/details/3vHaJWoT0Hsm00051Mm008","3vHaJWoT0Hsm00051Mm008")</f>
        <v>3vHaJWoT0Hsm00051Mm008</v>
      </c>
      <c r="I31" s="121" t="s">
        <v>1355</v>
      </c>
      <c r="J31" s="216" t="s">
        <v>1626</v>
      </c>
      <c r="K31" s="193" t="s">
        <v>1357</v>
      </c>
      <c r="L31" s="248" t="s">
        <v>1627</v>
      </c>
      <c r="M31" s="210"/>
      <c r="N31" s="199" t="s">
        <v>633</v>
      </c>
      <c r="O31" s="203" t="s">
        <v>635</v>
      </c>
      <c r="P31" s="206" t="s">
        <v>636</v>
      </c>
      <c r="Q31" s="199" t="s">
        <v>652</v>
      </c>
      <c r="R31" s="199"/>
      <c r="S31" s="199"/>
      <c r="T31" s="199"/>
      <c r="U31" s="200"/>
      <c r="V31" s="200"/>
      <c r="W31" s="201"/>
      <c r="X31" s="201"/>
      <c r="Y31" s="201"/>
      <c r="Z31" s="202" t="str">
        <f t="shared" si="0"/>
        <v>RLOM DiscreteAccessorys</v>
      </c>
      <c r="AA31" s="172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</row>
    <row r="32" spans="1:40" ht="27" customHeight="1">
      <c r="A32" s="190">
        <v>2</v>
      </c>
      <c r="B32" s="190" t="s">
        <v>398</v>
      </c>
      <c r="C32" s="190">
        <v>22</v>
      </c>
      <c r="D32" s="191" t="s">
        <v>1058</v>
      </c>
      <c r="E32" s="192">
        <v>228</v>
      </c>
      <c r="F32" s="192" t="s">
        <v>1021</v>
      </c>
      <c r="G32" s="193" t="s">
        <v>1222</v>
      </c>
      <c r="H32" s="212" t="str">
        <f>HYPERLINK("http://bsdd.buildingsmart.org/#concept/details/1i44itooP5F9e53Jc$HR0o","1i44itooP5F9e53Jc$HR0o")</f>
        <v>1i44itooP5F9e53Jc$HR0o</v>
      </c>
      <c r="I32" s="121" t="s">
        <v>1363</v>
      </c>
      <c r="J32" s="216" t="s">
        <v>1637</v>
      </c>
      <c r="K32" s="213" t="s">
        <v>1364</v>
      </c>
      <c r="L32" s="248" t="s">
        <v>1639</v>
      </c>
      <c r="M32" s="210"/>
      <c r="N32" s="199" t="s">
        <v>633</v>
      </c>
      <c r="O32" s="203" t="s">
        <v>635</v>
      </c>
      <c r="P32" s="206" t="s">
        <v>636</v>
      </c>
      <c r="Q32" s="199" t="s">
        <v>652</v>
      </c>
      <c r="R32" s="199" t="s">
        <v>1251</v>
      </c>
      <c r="S32" s="199" t="s">
        <v>1367</v>
      </c>
      <c r="T32" s="199"/>
      <c r="U32" s="200"/>
      <c r="V32" s="200"/>
      <c r="W32" s="201"/>
      <c r="X32" s="201"/>
      <c r="Y32" s="201"/>
      <c r="Z32" s="202" t="str">
        <f t="shared" si="0"/>
        <v>RLOM DiscreteAccessorys</v>
      </c>
      <c r="AA32" s="172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</row>
    <row r="33" spans="1:40" ht="54" customHeight="1">
      <c r="A33" s="190">
        <v>2</v>
      </c>
      <c r="B33" s="190" t="s">
        <v>398</v>
      </c>
      <c r="C33" s="190">
        <v>23</v>
      </c>
      <c r="D33" s="191" t="s">
        <v>1371</v>
      </c>
      <c r="E33" s="192">
        <v>230</v>
      </c>
      <c r="F33" s="192" t="s">
        <v>1371</v>
      </c>
      <c r="G33" s="193" t="s">
        <v>1375</v>
      </c>
      <c r="H33" s="212" t="str">
        <f>HYPERLINK("http://bsdd.buildingsmart.org/#concept/details/3vHZS2oT0Hsm00051Mm008","3vHZS2oT0Hsm00051Mm008")</f>
        <v>3vHZS2oT0Hsm00051Mm008</v>
      </c>
      <c r="I33" s="120" t="s">
        <v>4860</v>
      </c>
      <c r="J33" s="195" t="s">
        <v>1659</v>
      </c>
      <c r="K33" s="206" t="s">
        <v>1660</v>
      </c>
      <c r="L33" s="248" t="s">
        <v>1662</v>
      </c>
      <c r="M33" s="210"/>
      <c r="N33" s="199" t="s">
        <v>1387</v>
      </c>
      <c r="O33" s="203" t="s">
        <v>865</v>
      </c>
      <c r="P33" s="206" t="s">
        <v>1392</v>
      </c>
      <c r="Q33" s="199" t="s">
        <v>800</v>
      </c>
      <c r="R33" s="199"/>
      <c r="S33" s="210"/>
      <c r="T33" s="199" t="s">
        <v>1398</v>
      </c>
      <c r="U33" s="200"/>
      <c r="V33" s="200"/>
      <c r="W33" s="201"/>
      <c r="X33" s="201"/>
      <c r="Y33" s="201"/>
      <c r="Z33" s="202" t="str">
        <f t="shared" si="0"/>
        <v>RLOM Walls</v>
      </c>
      <c r="AA33" s="172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</row>
    <row r="34" spans="1:40" ht="54" customHeight="1">
      <c r="A34" s="190">
        <v>2</v>
      </c>
      <c r="B34" s="190" t="s">
        <v>398</v>
      </c>
      <c r="C34" s="190">
        <v>23</v>
      </c>
      <c r="D34" s="191" t="s">
        <v>1371</v>
      </c>
      <c r="E34" s="192">
        <v>231</v>
      </c>
      <c r="F34" s="192" t="s">
        <v>1374</v>
      </c>
      <c r="G34" s="193" t="s">
        <v>1375</v>
      </c>
      <c r="H34" s="212" t="str">
        <f>HYPERLINK("http://bsdd.buildingsmart.org/#concept/details/2lq2tPoPj5yhvpYYcnKtVx","2lq2tPoPj5yhvpYYcnKtVx")</f>
        <v>2lq2tPoPj5yhvpYYcnKtVx</v>
      </c>
      <c r="I34" s="120" t="s">
        <v>1376</v>
      </c>
      <c r="J34" s="195" t="s">
        <v>1675</v>
      </c>
      <c r="K34" s="206" t="s">
        <v>1378</v>
      </c>
      <c r="L34" s="248" t="s">
        <v>1677</v>
      </c>
      <c r="M34" s="210"/>
      <c r="N34" s="199" t="s">
        <v>1387</v>
      </c>
      <c r="O34" s="203" t="s">
        <v>865</v>
      </c>
      <c r="P34" s="206" t="s">
        <v>1392</v>
      </c>
      <c r="Q34" s="199" t="s">
        <v>800</v>
      </c>
      <c r="R34" s="199"/>
      <c r="S34" s="210"/>
      <c r="T34" s="199" t="s">
        <v>1686</v>
      </c>
      <c r="U34" s="200"/>
      <c r="V34" s="200"/>
      <c r="W34" s="201"/>
      <c r="X34" s="201"/>
      <c r="Y34" s="201"/>
      <c r="Z34" s="202" t="str">
        <f t="shared" si="0"/>
        <v>RLOM Walls</v>
      </c>
      <c r="AA34" s="172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</row>
    <row r="35" spans="1:40" ht="36" customHeight="1">
      <c r="A35" s="190">
        <v>2</v>
      </c>
      <c r="B35" s="190" t="s">
        <v>398</v>
      </c>
      <c r="C35" s="190">
        <v>23</v>
      </c>
      <c r="D35" s="191" t="s">
        <v>1371</v>
      </c>
      <c r="E35" s="192">
        <v>232</v>
      </c>
      <c r="F35" s="192" t="s">
        <v>1406</v>
      </c>
      <c r="G35" s="193" t="s">
        <v>1407</v>
      </c>
      <c r="H35" s="208" t="str">
        <f>HYPERLINK("http://bsdd.buildingsmart.org/#concept/details/0NJUDy8Cb26xlNqtypeO$3","0NJUDy8Cb26xlNqtypeO$3")</f>
        <v>0NJUDy8Cb26xlNqtypeO$3</v>
      </c>
      <c r="I35" s="119" t="s">
        <v>1408</v>
      </c>
      <c r="J35" s="209" t="s">
        <v>1713</v>
      </c>
      <c r="K35" s="206" t="s">
        <v>1409</v>
      </c>
      <c r="L35" s="247" t="s">
        <v>1716</v>
      </c>
      <c r="M35" s="210"/>
      <c r="N35" s="207" t="s">
        <v>1387</v>
      </c>
      <c r="O35" s="207" t="s">
        <v>865</v>
      </c>
      <c r="P35" s="206" t="s">
        <v>1392</v>
      </c>
      <c r="Q35" s="199" t="s">
        <v>800</v>
      </c>
      <c r="R35" s="207"/>
      <c r="S35" s="207"/>
      <c r="T35" s="199" t="s">
        <v>1721</v>
      </c>
      <c r="U35" s="200"/>
      <c r="V35" s="200"/>
      <c r="W35" s="201"/>
      <c r="X35" s="201"/>
      <c r="Y35" s="201"/>
      <c r="Z35" s="202" t="str">
        <f t="shared" si="0"/>
        <v>RLOM Walls</v>
      </c>
      <c r="AA35" s="172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</row>
    <row r="36" spans="1:40" ht="36" customHeight="1">
      <c r="A36" s="190">
        <v>2</v>
      </c>
      <c r="B36" s="190" t="s">
        <v>398</v>
      </c>
      <c r="C36" s="190">
        <v>23</v>
      </c>
      <c r="D36" s="191" t="s">
        <v>1371</v>
      </c>
      <c r="E36" s="192">
        <v>232</v>
      </c>
      <c r="F36" s="192" t="s">
        <v>1406</v>
      </c>
      <c r="G36" s="193" t="s">
        <v>1407</v>
      </c>
      <c r="H36" s="208" t="str">
        <f>HYPERLINK("http://bsdd.buildingsmart.org/#concept/details/15e9copzX9ZQ9Zumv2tqbZ","15e9copzX9ZQ9Zumv2tqbZ")</f>
        <v>15e9copzX9ZQ9Zumv2tqbZ</v>
      </c>
      <c r="I36" s="119" t="s">
        <v>1442</v>
      </c>
      <c r="J36" s="209" t="s">
        <v>1735</v>
      </c>
      <c r="K36" s="206" t="s">
        <v>1409</v>
      </c>
      <c r="L36" s="247" t="s">
        <v>1716</v>
      </c>
      <c r="M36" s="210"/>
      <c r="N36" s="207" t="s">
        <v>1387</v>
      </c>
      <c r="O36" s="207" t="s">
        <v>865</v>
      </c>
      <c r="P36" s="206" t="s">
        <v>1392</v>
      </c>
      <c r="Q36" s="199" t="s">
        <v>800</v>
      </c>
      <c r="R36" s="207"/>
      <c r="S36" s="207"/>
      <c r="T36" s="199" t="s">
        <v>1721</v>
      </c>
      <c r="U36" s="200"/>
      <c r="V36" s="200"/>
      <c r="W36" s="201"/>
      <c r="X36" s="201"/>
      <c r="Y36" s="201"/>
      <c r="Z36" s="202" t="str">
        <f t="shared" si="0"/>
        <v>RLOM Walls</v>
      </c>
      <c r="AA36" s="172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</row>
    <row r="37" spans="1:40" ht="36" customHeight="1">
      <c r="A37" s="190">
        <v>2</v>
      </c>
      <c r="B37" s="190" t="s">
        <v>398</v>
      </c>
      <c r="C37" s="190">
        <v>23</v>
      </c>
      <c r="D37" s="191" t="s">
        <v>1371</v>
      </c>
      <c r="E37" s="192">
        <v>232</v>
      </c>
      <c r="F37" s="192" t="s">
        <v>1406</v>
      </c>
      <c r="G37" s="193" t="s">
        <v>1407</v>
      </c>
      <c r="H37" s="212" t="str">
        <f>HYPERLINK("http://bsdd.buildingsmart.org/#concept/details/1gyhpDawfBxx4bMbEeZ$Pq","1gyhpDawfBxx4bMbEeZ$Pq")</f>
        <v>1gyhpDawfBxx4bMbEeZ$Pq</v>
      </c>
      <c r="I37" s="120" t="s">
        <v>1479</v>
      </c>
      <c r="J37" s="195" t="s">
        <v>1755</v>
      </c>
      <c r="K37" s="206" t="s">
        <v>1406</v>
      </c>
      <c r="L37" s="248" t="s">
        <v>1662</v>
      </c>
      <c r="M37" s="210"/>
      <c r="N37" s="207" t="s">
        <v>1387</v>
      </c>
      <c r="O37" s="207" t="s">
        <v>865</v>
      </c>
      <c r="P37" s="206" t="s">
        <v>1392</v>
      </c>
      <c r="Q37" s="199" t="s">
        <v>800</v>
      </c>
      <c r="R37" s="207"/>
      <c r="S37" s="207"/>
      <c r="T37" s="199" t="s">
        <v>1721</v>
      </c>
      <c r="U37" s="200"/>
      <c r="V37" s="200"/>
      <c r="W37" s="201"/>
      <c r="X37" s="201"/>
      <c r="Y37" s="201"/>
      <c r="Z37" s="202" t="str">
        <f t="shared" si="0"/>
        <v>RLOM Walls</v>
      </c>
      <c r="AA37" s="172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</row>
    <row r="38" spans="1:40" ht="33" customHeight="1">
      <c r="A38" s="190">
        <v>2</v>
      </c>
      <c r="B38" s="190" t="s">
        <v>398</v>
      </c>
      <c r="C38" s="190">
        <v>23</v>
      </c>
      <c r="D38" s="191" t="s">
        <v>1371</v>
      </c>
      <c r="E38" s="192">
        <v>233</v>
      </c>
      <c r="F38" s="192" t="s">
        <v>1498</v>
      </c>
      <c r="G38" s="193" t="s">
        <v>1500</v>
      </c>
      <c r="H38" s="212" t="str">
        <f>HYPERLINK("http://bsdd.buildingsmart.org/#concept/details/1l6W3jPzT8Ov7q5DnSm4Hf","1l6W3jPzT8Ov7q5DnSm4Hf")</f>
        <v>1l6W3jPzT8Ov7q5DnSm4Hf</v>
      </c>
      <c r="I38" s="120" t="s">
        <v>4861</v>
      </c>
      <c r="J38" s="195" t="s">
        <v>1759</v>
      </c>
      <c r="K38" s="191" t="s">
        <v>1760</v>
      </c>
      <c r="L38" s="248" t="s">
        <v>1761</v>
      </c>
      <c r="M38" s="192" t="s">
        <v>1762</v>
      </c>
      <c r="N38" s="207" t="s">
        <v>1504</v>
      </c>
      <c r="O38" s="207" t="s">
        <v>1505</v>
      </c>
      <c r="P38" s="206" t="s">
        <v>1506</v>
      </c>
      <c r="Q38" s="199" t="s">
        <v>800</v>
      </c>
      <c r="R38" s="207"/>
      <c r="S38" s="207"/>
      <c r="T38" s="199"/>
      <c r="U38" s="200"/>
      <c r="V38" s="200"/>
      <c r="W38" s="201"/>
      <c r="X38" s="201"/>
      <c r="Y38" s="201"/>
      <c r="Z38" s="202" t="str">
        <f t="shared" si="0"/>
        <v>RLOM Walls</v>
      </c>
      <c r="AA38" s="172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</row>
    <row r="39" spans="1:40" ht="12.75" customHeight="1">
      <c r="A39" s="190">
        <v>2</v>
      </c>
      <c r="B39" s="190" t="s">
        <v>398</v>
      </c>
      <c r="C39" s="190">
        <v>23</v>
      </c>
      <c r="D39" s="191" t="s">
        <v>1371</v>
      </c>
      <c r="E39" s="192">
        <v>233</v>
      </c>
      <c r="F39" s="192" t="s">
        <v>1498</v>
      </c>
      <c r="G39" s="193" t="s">
        <v>1500</v>
      </c>
      <c r="H39" s="212" t="str">
        <f>HYPERLINK("http://bsdd.buildingsmart.org/#concept/details/3OWKryhQ57Tv23aBETv2fX","3OWKryhQ57Tv23aBETv2fX")</f>
        <v>3OWKryhQ57Tv23aBETv2fX</v>
      </c>
      <c r="I39" s="120" t="s">
        <v>1501</v>
      </c>
      <c r="J39" s="195" t="s">
        <v>1795</v>
      </c>
      <c r="K39" s="213" t="s">
        <v>1501</v>
      </c>
      <c r="L39" s="248" t="s">
        <v>1796</v>
      </c>
      <c r="M39" s="210"/>
      <c r="N39" s="207" t="s">
        <v>1504</v>
      </c>
      <c r="O39" s="207" t="s">
        <v>1505</v>
      </c>
      <c r="P39" s="206" t="s">
        <v>1506</v>
      </c>
      <c r="Q39" s="199" t="s">
        <v>1507</v>
      </c>
      <c r="R39" s="207"/>
      <c r="S39" s="207"/>
      <c r="T39" s="199"/>
      <c r="U39" s="200"/>
      <c r="V39" s="200"/>
      <c r="W39" s="201"/>
      <c r="X39" s="201"/>
      <c r="Y39" s="201"/>
      <c r="Z39" s="202" t="str">
        <f t="shared" si="0"/>
        <v>RLOM CurtainWalls</v>
      </c>
      <c r="AA39" s="172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</row>
    <row r="40" spans="1:40" ht="72" customHeight="1">
      <c r="A40" s="190">
        <v>2</v>
      </c>
      <c r="B40" s="190" t="s">
        <v>398</v>
      </c>
      <c r="C40" s="190">
        <v>23</v>
      </c>
      <c r="D40" s="191" t="s">
        <v>1371</v>
      </c>
      <c r="E40" s="192">
        <v>234</v>
      </c>
      <c r="F40" s="192" t="s">
        <v>1511</v>
      </c>
      <c r="G40" s="193" t="s">
        <v>1818</v>
      </c>
      <c r="H40" s="212" t="str">
        <f>HYPERLINK("http://bsdd.buildingsmart.org/#concept/details/30WOOURs1CvQdsoIqeIK9u","30WOOURs1CvQdsoIqeIK9u")</f>
        <v>30WOOURs1CvQdsoIqeIK9u</v>
      </c>
      <c r="I40" s="121" t="s">
        <v>4862</v>
      </c>
      <c r="J40" s="216" t="s">
        <v>1819</v>
      </c>
      <c r="K40" s="193" t="s">
        <v>1534</v>
      </c>
      <c r="L40" s="248" t="s">
        <v>1820</v>
      </c>
      <c r="M40" s="210"/>
      <c r="N40" s="192" t="s">
        <v>1538</v>
      </c>
      <c r="O40" s="192" t="s">
        <v>1541</v>
      </c>
      <c r="P40" s="206" t="s">
        <v>1542</v>
      </c>
      <c r="Q40" s="199" t="s">
        <v>1543</v>
      </c>
      <c r="R40" s="199" t="s">
        <v>1545</v>
      </c>
      <c r="S40" s="207" t="s">
        <v>1547</v>
      </c>
      <c r="T40" s="207" t="s">
        <v>1548</v>
      </c>
      <c r="U40" s="200"/>
      <c r="V40" s="200"/>
      <c r="W40" s="201"/>
      <c r="X40" s="201"/>
      <c r="Y40" s="201"/>
      <c r="Z40" s="202" t="str">
        <f t="shared" si="0"/>
        <v>RLOM Doors</v>
      </c>
      <c r="AA40" s="172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</row>
    <row r="41" spans="1:40" ht="72" customHeight="1">
      <c r="A41" s="190">
        <v>2</v>
      </c>
      <c r="B41" s="190" t="s">
        <v>398</v>
      </c>
      <c r="C41" s="190">
        <v>23</v>
      </c>
      <c r="D41" s="191" t="s">
        <v>1371</v>
      </c>
      <c r="E41" s="192">
        <v>234</v>
      </c>
      <c r="F41" s="192" t="s">
        <v>1511</v>
      </c>
      <c r="G41" s="193" t="s">
        <v>1831</v>
      </c>
      <c r="H41" s="212" t="str">
        <f>HYPERLINK("http://bsdd.buildingsmart.org/#concept/details/2_Y3IntAfBGw93daNQP1Ez","2_Y3IntAfBGw93daNQP1Ez")</f>
        <v>2_Y3IntAfBGw93daNQP1Ez</v>
      </c>
      <c r="I41" s="121" t="s">
        <v>4863</v>
      </c>
      <c r="J41" s="216" t="s">
        <v>1839</v>
      </c>
      <c r="K41" s="193" t="s">
        <v>1534</v>
      </c>
      <c r="L41" s="248" t="s">
        <v>1841</v>
      </c>
      <c r="M41" s="210"/>
      <c r="N41" s="192" t="s">
        <v>1538</v>
      </c>
      <c r="O41" s="192" t="s">
        <v>1541</v>
      </c>
      <c r="P41" s="206" t="s">
        <v>1542</v>
      </c>
      <c r="Q41" s="199" t="s">
        <v>1543</v>
      </c>
      <c r="R41" s="207"/>
      <c r="S41" s="210"/>
      <c r="T41" s="207" t="s">
        <v>1548</v>
      </c>
      <c r="U41" s="200"/>
      <c r="V41" s="200"/>
      <c r="W41" s="201"/>
      <c r="X41" s="201"/>
      <c r="Y41" s="201"/>
      <c r="Z41" s="202" t="str">
        <f t="shared" si="0"/>
        <v>RLOM Doors</v>
      </c>
      <c r="AA41" s="172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</row>
    <row r="42" spans="1:40" ht="72" customHeight="1">
      <c r="A42" s="190">
        <v>2</v>
      </c>
      <c r="B42" s="190" t="s">
        <v>398</v>
      </c>
      <c r="C42" s="190">
        <v>23</v>
      </c>
      <c r="D42" s="191" t="s">
        <v>1371</v>
      </c>
      <c r="E42" s="192">
        <v>234</v>
      </c>
      <c r="F42" s="192" t="s">
        <v>1511</v>
      </c>
      <c r="G42" s="193" t="s">
        <v>1831</v>
      </c>
      <c r="H42" s="212" t="str">
        <f>HYPERLINK("http://bsdd.buildingsmart.org/#concept/details/1Dz0m16q9149EUiTq_CznH","1Dz0m16q9149EUiTq_CznH")</f>
        <v>1Dz0m16q9149EUiTq_CznH</v>
      </c>
      <c r="I42" s="121" t="s">
        <v>4864</v>
      </c>
      <c r="J42" s="216" t="s">
        <v>1857</v>
      </c>
      <c r="K42" s="193" t="s">
        <v>1596</v>
      </c>
      <c r="L42" s="248" t="s">
        <v>1859</v>
      </c>
      <c r="M42" s="210"/>
      <c r="N42" s="192" t="s">
        <v>1602</v>
      </c>
      <c r="O42" s="192" t="s">
        <v>1541</v>
      </c>
      <c r="P42" s="206" t="s">
        <v>1542</v>
      </c>
      <c r="Q42" s="199" t="s">
        <v>1543</v>
      </c>
      <c r="R42" s="207"/>
      <c r="S42" s="207"/>
      <c r="T42" s="207" t="s">
        <v>1863</v>
      </c>
      <c r="U42" s="200"/>
      <c r="V42" s="200"/>
      <c r="W42" s="201"/>
      <c r="X42" s="201"/>
      <c r="Y42" s="201"/>
      <c r="Z42" s="202" t="str">
        <f t="shared" si="0"/>
        <v>RLOM Doors</v>
      </c>
      <c r="AA42" s="172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</row>
    <row r="43" spans="1:40" ht="72" customHeight="1">
      <c r="A43" s="190">
        <v>2</v>
      </c>
      <c r="B43" s="190" t="s">
        <v>398</v>
      </c>
      <c r="C43" s="190">
        <v>23</v>
      </c>
      <c r="D43" s="191" t="s">
        <v>1371</v>
      </c>
      <c r="E43" s="192">
        <v>234</v>
      </c>
      <c r="F43" s="192" t="s">
        <v>1511</v>
      </c>
      <c r="G43" s="193" t="s">
        <v>1818</v>
      </c>
      <c r="H43" s="212" t="str">
        <f>HYPERLINK("http://bsdd.buildingsmart.org/#concept/details/3NEmW7BXP7l8$tzU$9pVn5","3NEmW7BXP7l8$tzU$9pVn5")</f>
        <v>3NEmW7BXP7l8$tzU$9pVn5</v>
      </c>
      <c r="I43" s="121" t="s">
        <v>4865</v>
      </c>
      <c r="J43" s="216" t="s">
        <v>1871</v>
      </c>
      <c r="K43" s="193" t="s">
        <v>1617</v>
      </c>
      <c r="L43" s="248" t="s">
        <v>1873</v>
      </c>
      <c r="M43" s="210"/>
      <c r="N43" s="192" t="s">
        <v>1629</v>
      </c>
      <c r="O43" s="192" t="s">
        <v>1631</v>
      </c>
      <c r="P43" s="206" t="s">
        <v>1634</v>
      </c>
      <c r="Q43" s="199" t="s">
        <v>1543</v>
      </c>
      <c r="R43" s="207"/>
      <c r="S43" s="210"/>
      <c r="T43" s="207" t="s">
        <v>1548</v>
      </c>
      <c r="U43" s="200"/>
      <c r="V43" s="200"/>
      <c r="W43" s="201"/>
      <c r="X43" s="201"/>
      <c r="Y43" s="201"/>
      <c r="Z43" s="202" t="str">
        <f t="shared" si="0"/>
        <v>RLOM Doors</v>
      </c>
      <c r="AA43" s="172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</row>
    <row r="44" spans="1:40" ht="72" customHeight="1">
      <c r="A44" s="190">
        <v>2</v>
      </c>
      <c r="B44" s="190" t="s">
        <v>398</v>
      </c>
      <c r="C44" s="190">
        <v>23</v>
      </c>
      <c r="D44" s="191" t="s">
        <v>1371</v>
      </c>
      <c r="E44" s="192">
        <v>234</v>
      </c>
      <c r="F44" s="192" t="s">
        <v>1511</v>
      </c>
      <c r="G44" s="193" t="s">
        <v>1818</v>
      </c>
      <c r="H44" s="212" t="str">
        <f>HYPERLINK("http://bsdd.buildingsmart.org/#concept/details/3OZWEFn7D7Qv2yy8sP4fwc","3OZWEFn7D7Qv2yy8sP4fwc")</f>
        <v>3OZWEFn7D7Qv2yy8sP4fwc</v>
      </c>
      <c r="I44" s="121" t="s">
        <v>4866</v>
      </c>
      <c r="J44" s="216" t="s">
        <v>1897</v>
      </c>
      <c r="K44" s="193" t="s">
        <v>1661</v>
      </c>
      <c r="L44" s="248" t="s">
        <v>1898</v>
      </c>
      <c r="M44" s="210"/>
      <c r="N44" s="207" t="s">
        <v>1667</v>
      </c>
      <c r="O44" s="207" t="s">
        <v>1685</v>
      </c>
      <c r="P44" s="206" t="s">
        <v>1687</v>
      </c>
      <c r="Q44" s="199" t="s">
        <v>1690</v>
      </c>
      <c r="R44" s="207"/>
      <c r="S44" s="210"/>
      <c r="T44" s="207" t="s">
        <v>1697</v>
      </c>
      <c r="U44" s="200"/>
      <c r="V44" s="200"/>
      <c r="W44" s="201"/>
      <c r="X44" s="201"/>
      <c r="Y44" s="201"/>
      <c r="Z44" s="202" t="str">
        <f t="shared" si="0"/>
        <v>RLOM Windows</v>
      </c>
      <c r="AA44" s="172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</row>
    <row r="45" spans="1:40" ht="72" customHeight="1">
      <c r="A45" s="190">
        <v>2</v>
      </c>
      <c r="B45" s="190" t="s">
        <v>398</v>
      </c>
      <c r="C45" s="190">
        <v>23</v>
      </c>
      <c r="D45" s="191" t="s">
        <v>1371</v>
      </c>
      <c r="E45" s="192">
        <v>235</v>
      </c>
      <c r="F45" s="192" t="s">
        <v>1727</v>
      </c>
      <c r="G45" s="193" t="s">
        <v>1729</v>
      </c>
      <c r="H45" s="212" t="str">
        <f>HYPERLINK("http://bsdd.buildingsmart.org/#concept/details/1j0VeTCzD3nBRAPS5orXqK","1j0VeTCzD3nBRAPS5orXqK")</f>
        <v>1j0VeTCzD3nBRAPS5orXqK</v>
      </c>
      <c r="I45" s="119" t="s">
        <v>4867</v>
      </c>
      <c r="J45" s="209" t="s">
        <v>1925</v>
      </c>
      <c r="K45" s="206" t="s">
        <v>1731</v>
      </c>
      <c r="L45" s="248" t="s">
        <v>1928</v>
      </c>
      <c r="M45" s="210"/>
      <c r="N45" s="192" t="s">
        <v>1203</v>
      </c>
      <c r="O45" s="192" t="s">
        <v>1204</v>
      </c>
      <c r="P45" s="206" t="s">
        <v>1205</v>
      </c>
      <c r="Q45" s="96" t="s">
        <v>1034</v>
      </c>
      <c r="R45" s="199" t="s">
        <v>1035</v>
      </c>
      <c r="S45" s="199" t="s">
        <v>1214</v>
      </c>
      <c r="T45" s="199"/>
      <c r="U45" s="200"/>
      <c r="V45" s="200"/>
      <c r="W45" s="201"/>
      <c r="X45" s="201"/>
      <c r="Y45" s="201"/>
      <c r="Z45" s="202" t="str">
        <f t="shared" si="0"/>
        <v>RLOM Coverings</v>
      </c>
      <c r="AA45" s="172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</row>
    <row r="46" spans="1:40" ht="72" customHeight="1">
      <c r="A46" s="190">
        <v>2</v>
      </c>
      <c r="B46" s="190" t="s">
        <v>398</v>
      </c>
      <c r="C46" s="190">
        <v>23</v>
      </c>
      <c r="D46" s="191" t="s">
        <v>1371</v>
      </c>
      <c r="E46" s="192">
        <v>236</v>
      </c>
      <c r="F46" s="192" t="s">
        <v>1765</v>
      </c>
      <c r="G46" s="193"/>
      <c r="H46" s="212" t="str">
        <f>HYPERLINK("http://bsdd.buildingsmart.org/#concept/details/2AM7HbpDfAFgnFn_0yKEyl","2AM7HbpDfAFgnFn_0yKEyl")</f>
        <v>2AM7HbpDfAFgnFn_0yKEyl</v>
      </c>
      <c r="I46" s="119" t="s">
        <v>4868</v>
      </c>
      <c r="J46" s="209" t="s">
        <v>1967</v>
      </c>
      <c r="K46" s="206" t="s">
        <v>1766</v>
      </c>
      <c r="L46" s="248" t="s">
        <v>1969</v>
      </c>
      <c r="M46" s="210"/>
      <c r="N46" s="192" t="s">
        <v>1203</v>
      </c>
      <c r="O46" s="192" t="s">
        <v>1204</v>
      </c>
      <c r="P46" s="206" t="s">
        <v>1205</v>
      </c>
      <c r="Q46" s="96" t="s">
        <v>1034</v>
      </c>
      <c r="R46" s="199" t="s">
        <v>1035</v>
      </c>
      <c r="S46" s="199" t="s">
        <v>1214</v>
      </c>
      <c r="T46" s="199"/>
      <c r="U46" s="200"/>
      <c r="V46" s="200"/>
      <c r="W46" s="201"/>
      <c r="X46" s="201"/>
      <c r="Y46" s="201"/>
      <c r="Z46" s="202" t="str">
        <f t="shared" si="0"/>
        <v>RLOM Coverings</v>
      </c>
      <c r="AA46" s="172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</row>
    <row r="47" spans="1:40" ht="18" customHeight="1">
      <c r="A47" s="190">
        <v>2</v>
      </c>
      <c r="B47" s="190" t="s">
        <v>398</v>
      </c>
      <c r="C47" s="190">
        <v>23</v>
      </c>
      <c r="D47" s="191" t="s">
        <v>1371</v>
      </c>
      <c r="E47" s="192">
        <v>237</v>
      </c>
      <c r="F47" s="192" t="s">
        <v>1788</v>
      </c>
      <c r="G47" s="193" t="s">
        <v>1791</v>
      </c>
      <c r="H47" s="212" t="str">
        <f>HYPERLINK("http://bsdd.buildingsmart.org/#concept/details/2wz$1BZnH7Uu6Ovzlat8z4","2wz$1BZnH7Uu6Ovzlat8z4")</f>
        <v>2wz$1BZnH7Uu6Ovzlat8z4</v>
      </c>
      <c r="I47" s="119" t="s">
        <v>1808</v>
      </c>
      <c r="J47" s="209" t="s">
        <v>1982</v>
      </c>
      <c r="K47" s="206" t="s">
        <v>1809</v>
      </c>
      <c r="L47" s="248" t="s">
        <v>1983</v>
      </c>
      <c r="M47" s="210"/>
      <c r="N47" s="192" t="s">
        <v>1811</v>
      </c>
      <c r="O47" s="192" t="s">
        <v>1788</v>
      </c>
      <c r="P47" s="206" t="s">
        <v>1812</v>
      </c>
      <c r="Q47" s="199" t="s">
        <v>1813</v>
      </c>
      <c r="R47" s="199" t="s">
        <v>1814</v>
      </c>
      <c r="S47" s="207" t="s">
        <v>1815</v>
      </c>
      <c r="T47" s="203"/>
      <c r="U47" s="217"/>
      <c r="V47" s="200"/>
      <c r="W47" s="201"/>
      <c r="X47" s="201"/>
      <c r="Y47" s="201"/>
      <c r="Z47" s="202" t="str">
        <f t="shared" si="0"/>
        <v>RLOM ShadingDevices</v>
      </c>
      <c r="AA47" s="172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</row>
    <row r="48" spans="1:40" ht="21.75" customHeight="1">
      <c r="A48" s="190">
        <v>2</v>
      </c>
      <c r="B48" s="190" t="s">
        <v>398</v>
      </c>
      <c r="C48" s="190">
        <v>23</v>
      </c>
      <c r="D48" s="191" t="s">
        <v>1371</v>
      </c>
      <c r="E48" s="192">
        <v>237</v>
      </c>
      <c r="F48" s="192" t="s">
        <v>1788</v>
      </c>
      <c r="G48" s="193" t="s">
        <v>1791</v>
      </c>
      <c r="H48" s="212" t="str">
        <f>HYPERLINK("http://bsdd.buildingsmart.org/#concept/details/3vHLsWoT0Hsm00051Mm008","3vHLsWoT0Hsm00051Mm008")</f>
        <v>3vHLsWoT0Hsm00051Mm008</v>
      </c>
      <c r="I48" s="119" t="s">
        <v>1832</v>
      </c>
      <c r="J48" s="209" t="s">
        <v>2002</v>
      </c>
      <c r="K48" s="206" t="s">
        <v>1835</v>
      </c>
      <c r="L48" s="248" t="s">
        <v>2007</v>
      </c>
      <c r="M48" s="210"/>
      <c r="N48" s="192" t="s">
        <v>1811</v>
      </c>
      <c r="O48" s="192" t="s">
        <v>1788</v>
      </c>
      <c r="P48" s="206" t="s">
        <v>1812</v>
      </c>
      <c r="Q48" s="199" t="s">
        <v>1813</v>
      </c>
      <c r="R48" s="199" t="s">
        <v>1814</v>
      </c>
      <c r="S48" s="207" t="s">
        <v>1842</v>
      </c>
      <c r="T48" s="203"/>
      <c r="U48" s="218"/>
      <c r="V48" s="200"/>
      <c r="W48" s="201"/>
      <c r="X48" s="201"/>
      <c r="Y48" s="201"/>
      <c r="Z48" s="202" t="str">
        <f t="shared" si="0"/>
        <v>RLOM ShadingDevices</v>
      </c>
      <c r="AA48" s="172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</row>
    <row r="49" spans="1:40" ht="18" customHeight="1">
      <c r="A49" s="190">
        <v>2</v>
      </c>
      <c r="B49" s="190" t="s">
        <v>398</v>
      </c>
      <c r="C49" s="190">
        <v>23</v>
      </c>
      <c r="D49" s="191" t="s">
        <v>1371</v>
      </c>
      <c r="E49" s="192">
        <v>237</v>
      </c>
      <c r="F49" s="192" t="s">
        <v>1788</v>
      </c>
      <c r="G49" s="193" t="s">
        <v>1791</v>
      </c>
      <c r="H49" s="212" t="str">
        <f>HYPERLINK("http://bsdd.buildingsmart.org/#concept/details/01JCxB9_9FEAPnaHytNm3S","01JCxB9_9FEAPnaHytNm3S")</f>
        <v>01JCxB9_9FEAPnaHytNm3S</v>
      </c>
      <c r="I49" s="119" t="s">
        <v>1788</v>
      </c>
      <c r="J49" s="209" t="s">
        <v>2025</v>
      </c>
      <c r="K49" s="206" t="s">
        <v>1788</v>
      </c>
      <c r="L49" s="248" t="s">
        <v>2027</v>
      </c>
      <c r="M49" s="210"/>
      <c r="N49" s="192" t="s">
        <v>1811</v>
      </c>
      <c r="O49" s="192" t="s">
        <v>1788</v>
      </c>
      <c r="P49" s="206" t="s">
        <v>1812</v>
      </c>
      <c r="Q49" s="199" t="s">
        <v>1813</v>
      </c>
      <c r="R49" s="199"/>
      <c r="S49" s="207"/>
      <c r="T49" s="199"/>
      <c r="U49" s="200"/>
      <c r="V49" s="200"/>
      <c r="W49" s="201"/>
      <c r="X49" s="201"/>
      <c r="Y49" s="201"/>
      <c r="Z49" s="202" t="str">
        <f t="shared" si="0"/>
        <v>RLOM ShadingDevices</v>
      </c>
      <c r="AA49" s="172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</row>
    <row r="50" spans="1:40" ht="18" customHeight="1">
      <c r="A50" s="190">
        <v>2</v>
      </c>
      <c r="B50" s="190" t="s">
        <v>398</v>
      </c>
      <c r="C50" s="190">
        <v>23</v>
      </c>
      <c r="D50" s="191" t="s">
        <v>1371</v>
      </c>
      <c r="E50" s="192">
        <v>237</v>
      </c>
      <c r="F50" s="192" t="s">
        <v>1788</v>
      </c>
      <c r="G50" s="193" t="s">
        <v>1791</v>
      </c>
      <c r="H50" s="212" t="str">
        <f>HYPERLINK("http://bsdd.buildingsmart.org/#concept/details/27f2fkTV50YwB1IZgMURLa","27f2fkTV50YwB1IZgMURLa")</f>
        <v>27f2fkTV50YwB1IZgMURLa</v>
      </c>
      <c r="I50" s="119" t="s">
        <v>1870</v>
      </c>
      <c r="J50" s="209" t="s">
        <v>2035</v>
      </c>
      <c r="K50" s="206" t="s">
        <v>1809</v>
      </c>
      <c r="L50" s="248" t="s">
        <v>1983</v>
      </c>
      <c r="M50" s="210"/>
      <c r="N50" s="192" t="s">
        <v>1811</v>
      </c>
      <c r="O50" s="192" t="s">
        <v>1788</v>
      </c>
      <c r="P50" s="206" t="s">
        <v>1812</v>
      </c>
      <c r="Q50" s="199" t="s">
        <v>1813</v>
      </c>
      <c r="R50" s="199" t="s">
        <v>1814</v>
      </c>
      <c r="S50" s="207" t="s">
        <v>1876</v>
      </c>
      <c r="T50" s="203"/>
      <c r="U50" s="217"/>
      <c r="V50" s="200"/>
      <c r="W50" s="201"/>
      <c r="X50" s="201"/>
      <c r="Y50" s="201"/>
      <c r="Z50" s="202" t="str">
        <f t="shared" si="0"/>
        <v>RLOM ShadingDevices</v>
      </c>
      <c r="AA50" s="172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</row>
    <row r="51" spans="1:40" ht="63" customHeight="1">
      <c r="A51" s="190">
        <v>2</v>
      </c>
      <c r="B51" s="190" t="s">
        <v>398</v>
      </c>
      <c r="C51" s="190">
        <v>23</v>
      </c>
      <c r="D51" s="191" t="s">
        <v>1371</v>
      </c>
      <c r="E51" s="192">
        <v>238</v>
      </c>
      <c r="F51" s="192" t="s">
        <v>1021</v>
      </c>
      <c r="G51" s="193" t="s">
        <v>1157</v>
      </c>
      <c r="H51" s="208" t="str">
        <f>HYPERLINK("http://bsdd.buildingsmart.org/#concept/details/0OTOYxRGvC9e3nXFBQfpnk","0OTOYxRGvC9e3nXFBQfpnk")</f>
        <v>0OTOYxRGvC9e3nXFBQfpnk</v>
      </c>
      <c r="I51" s="119" t="s">
        <v>1921</v>
      </c>
      <c r="J51" s="209" t="s">
        <v>2059</v>
      </c>
      <c r="K51" s="206" t="s">
        <v>1923</v>
      </c>
      <c r="L51" s="247" t="s">
        <v>1472</v>
      </c>
      <c r="M51" s="210"/>
      <c r="N51" s="192" t="s">
        <v>1924</v>
      </c>
      <c r="O51" s="192" t="s">
        <v>1926</v>
      </c>
      <c r="P51" s="206" t="s">
        <v>1927</v>
      </c>
      <c r="Q51" s="199" t="s">
        <v>1034</v>
      </c>
      <c r="R51" s="207"/>
      <c r="S51" s="207"/>
      <c r="T51" s="199"/>
      <c r="U51" s="200"/>
      <c r="V51" s="200"/>
      <c r="W51" s="201"/>
      <c r="X51" s="201"/>
      <c r="Y51" s="201"/>
      <c r="Z51" s="202" t="str">
        <f t="shared" si="0"/>
        <v>RLOM Coverings</v>
      </c>
      <c r="AA51" s="172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</row>
    <row r="52" spans="1:40" ht="54" customHeight="1">
      <c r="A52" s="190">
        <v>2</v>
      </c>
      <c r="B52" s="190" t="s">
        <v>398</v>
      </c>
      <c r="C52" s="190">
        <v>23</v>
      </c>
      <c r="D52" s="191" t="s">
        <v>1371</v>
      </c>
      <c r="E52" s="192">
        <v>238</v>
      </c>
      <c r="F52" s="192" t="s">
        <v>1021</v>
      </c>
      <c r="G52" s="193" t="s">
        <v>1157</v>
      </c>
      <c r="H52" s="212" t="str">
        <f>HYPERLINK("http://bsdd.buildingsmart.org/#concept/details/3vHcVCoT0Hsm00051Mm008","3vHcVCoT0Hsm00051Mm008")</f>
        <v>3vHcVCoT0Hsm00051Mm008</v>
      </c>
      <c r="I52" s="119" t="s">
        <v>4869</v>
      </c>
      <c r="J52" s="209" t="s">
        <v>2088</v>
      </c>
      <c r="K52" s="193" t="s">
        <v>1934</v>
      </c>
      <c r="L52" s="248" t="s">
        <v>1491</v>
      </c>
      <c r="M52" s="210"/>
      <c r="N52" s="192" t="s">
        <v>1248</v>
      </c>
      <c r="O52" s="203" t="s">
        <v>1249</v>
      </c>
      <c r="P52" s="206" t="s">
        <v>1250</v>
      </c>
      <c r="Q52" s="199" t="s">
        <v>652</v>
      </c>
      <c r="R52" s="199" t="s">
        <v>1251</v>
      </c>
      <c r="S52" s="199" t="s">
        <v>768</v>
      </c>
      <c r="T52" s="199"/>
      <c r="U52" s="200"/>
      <c r="V52" s="200"/>
      <c r="W52" s="201"/>
      <c r="X52" s="201"/>
      <c r="Y52" s="201"/>
      <c r="Z52" s="202" t="str">
        <f t="shared" si="0"/>
        <v>RLOM DiscreteAccessorys</v>
      </c>
      <c r="AA52" s="172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</row>
    <row r="53" spans="1:40" ht="21.75" customHeight="1">
      <c r="A53" s="190">
        <v>2</v>
      </c>
      <c r="B53" s="190" t="s">
        <v>398</v>
      </c>
      <c r="C53" s="190">
        <v>23</v>
      </c>
      <c r="D53" s="191" t="s">
        <v>1371</v>
      </c>
      <c r="E53" s="192">
        <v>239</v>
      </c>
      <c r="F53" s="192" t="s">
        <v>1946</v>
      </c>
      <c r="G53" s="193" t="s">
        <v>1949</v>
      </c>
      <c r="H53" s="208" t="str">
        <f>HYPERLINK("http://bsdd.buildingsmart.org/#concept/details/3vHdNIoT0Hsm00051Mm008","3vHdNIoT0Hsm00051Mm008")</f>
        <v>3vHdNIoT0Hsm00051Mm008</v>
      </c>
      <c r="I53" s="119" t="s">
        <v>1950</v>
      </c>
      <c r="J53" s="209" t="s">
        <v>2113</v>
      </c>
      <c r="K53" s="206" t="s">
        <v>1950</v>
      </c>
      <c r="L53" s="247" t="s">
        <v>2114</v>
      </c>
      <c r="M53" s="210"/>
      <c r="N53" s="203"/>
      <c r="O53" s="203"/>
      <c r="P53" s="206"/>
      <c r="Q53" s="199" t="s">
        <v>1953</v>
      </c>
      <c r="R53" s="219"/>
      <c r="S53" s="199"/>
      <c r="T53" s="199"/>
      <c r="U53" s="200"/>
      <c r="V53" s="200"/>
      <c r="W53" s="201"/>
      <c r="X53" s="201"/>
      <c r="Y53" s="201"/>
      <c r="Z53" s="202" t="str">
        <f t="shared" si="0"/>
        <v>RLOM OpeningElements</v>
      </c>
      <c r="AA53" s="172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</row>
    <row r="54" spans="1:40" ht="18" customHeight="1">
      <c r="A54" s="190"/>
      <c r="B54" s="190"/>
      <c r="C54" s="190"/>
      <c r="D54" s="191"/>
      <c r="E54" s="192">
        <v>240</v>
      </c>
      <c r="F54" s="192" t="s">
        <v>2120</v>
      </c>
      <c r="G54" s="193"/>
      <c r="H54" s="208" t="str">
        <f>HYPERLINK("http://bsdd.buildingsmart.org/#concept/details/1Mx0YpLtX5MxXy0EABAob$","1Mx0YpLtX5MxXy0EABAob$")</f>
        <v>1Mx0YpLtX5MxXy0EABAob$</v>
      </c>
      <c r="I54" s="120" t="s">
        <v>4870</v>
      </c>
      <c r="J54" s="195" t="s">
        <v>2127</v>
      </c>
      <c r="K54" s="206" t="s">
        <v>2128</v>
      </c>
      <c r="L54" s="247" t="s">
        <v>2129</v>
      </c>
      <c r="M54" s="210"/>
      <c r="N54" s="203"/>
      <c r="O54" s="203"/>
      <c r="P54" s="206"/>
      <c r="Q54" s="199" t="s">
        <v>800</v>
      </c>
      <c r="R54" s="219"/>
      <c r="S54" s="199"/>
      <c r="T54" s="199" t="s">
        <v>1998</v>
      </c>
      <c r="U54" s="200"/>
      <c r="V54" s="200"/>
      <c r="W54" s="201"/>
      <c r="X54" s="201"/>
      <c r="Y54" s="201"/>
      <c r="Z54" s="202" t="str">
        <f t="shared" si="0"/>
        <v>RLOM Walls</v>
      </c>
      <c r="AA54" s="172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</row>
    <row r="55" spans="1:40" ht="21.75" customHeight="1">
      <c r="A55" s="190">
        <v>2</v>
      </c>
      <c r="B55" s="190" t="s">
        <v>398</v>
      </c>
      <c r="C55" s="190">
        <v>24</v>
      </c>
      <c r="D55" s="191" t="s">
        <v>1977</v>
      </c>
      <c r="E55" s="192">
        <v>241</v>
      </c>
      <c r="F55" s="192" t="s">
        <v>1978</v>
      </c>
      <c r="G55" s="193" t="s">
        <v>1984</v>
      </c>
      <c r="H55" s="212" t="str">
        <f>HYPERLINK("http://bsdd.buildingsmart.org/#concept/details/1r574QJwLBcPY7LGZoylkX","1r574QJwLBcPY7LGZoylkX")</f>
        <v>1r574QJwLBcPY7LGZoylkX</v>
      </c>
      <c r="I55" s="120" t="s">
        <v>4871</v>
      </c>
      <c r="J55" s="195" t="s">
        <v>2136</v>
      </c>
      <c r="K55" s="206" t="s">
        <v>1978</v>
      </c>
      <c r="L55" s="248" t="s">
        <v>2152</v>
      </c>
      <c r="M55" s="210"/>
      <c r="N55" s="192" t="s">
        <v>1387</v>
      </c>
      <c r="O55" s="192" t="s">
        <v>865</v>
      </c>
      <c r="P55" s="206" t="s">
        <v>1392</v>
      </c>
      <c r="Q55" s="199" t="s">
        <v>800</v>
      </c>
      <c r="R55" s="199"/>
      <c r="S55" s="210"/>
      <c r="T55" s="199" t="s">
        <v>2155</v>
      </c>
      <c r="U55" s="200"/>
      <c r="V55" s="200"/>
      <c r="W55" s="201"/>
      <c r="X55" s="201"/>
      <c r="Y55" s="201"/>
      <c r="Z55" s="202" t="str">
        <f t="shared" si="0"/>
        <v>RLOM Walls</v>
      </c>
      <c r="AA55" s="172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</row>
    <row r="56" spans="1:40" ht="21.75" customHeight="1">
      <c r="A56" s="190">
        <v>2</v>
      </c>
      <c r="B56" s="190" t="s">
        <v>398</v>
      </c>
      <c r="C56" s="190">
        <v>24</v>
      </c>
      <c r="D56" s="191" t="s">
        <v>1977</v>
      </c>
      <c r="E56" s="192">
        <v>242</v>
      </c>
      <c r="F56" s="192" t="s">
        <v>2011</v>
      </c>
      <c r="G56" s="193" t="s">
        <v>1984</v>
      </c>
      <c r="H56" s="212" t="str">
        <f>HYPERLINK("http://bsdd.buildingsmart.org/#concept/details/3MdppfwZn1jv0sVMrVc6z0","3MdppfwZn1jv0sVMrVc6z0")</f>
        <v>3MdppfwZn1jv0sVMrVc6z0</v>
      </c>
      <c r="I56" s="120" t="s">
        <v>4872</v>
      </c>
      <c r="J56" s="195" t="s">
        <v>2191</v>
      </c>
      <c r="K56" s="206" t="s">
        <v>2011</v>
      </c>
      <c r="L56" s="248" t="s">
        <v>2192</v>
      </c>
      <c r="M56" s="210"/>
      <c r="N56" s="192" t="s">
        <v>1387</v>
      </c>
      <c r="O56" s="192" t="s">
        <v>865</v>
      </c>
      <c r="P56" s="206" t="s">
        <v>1392</v>
      </c>
      <c r="Q56" s="199" t="s">
        <v>800</v>
      </c>
      <c r="R56" s="219"/>
      <c r="S56" s="210"/>
      <c r="T56" s="199" t="s">
        <v>2219</v>
      </c>
      <c r="U56" s="200"/>
      <c r="V56" s="200"/>
      <c r="W56" s="201"/>
      <c r="X56" s="201"/>
      <c r="Y56" s="201"/>
      <c r="Z56" s="202" t="str">
        <f t="shared" si="0"/>
        <v>RLOM Walls</v>
      </c>
      <c r="AA56" s="172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</row>
    <row r="57" spans="1:40" ht="21.75" customHeight="1">
      <c r="A57" s="190">
        <v>2</v>
      </c>
      <c r="B57" s="190" t="s">
        <v>398</v>
      </c>
      <c r="C57" s="190">
        <v>24</v>
      </c>
      <c r="D57" s="191" t="s">
        <v>1977</v>
      </c>
      <c r="E57" s="192">
        <v>243</v>
      </c>
      <c r="F57" s="192" t="s">
        <v>2040</v>
      </c>
      <c r="G57" s="193" t="s">
        <v>2041</v>
      </c>
      <c r="H57" s="212" t="str">
        <f>HYPERLINK("http://bsdd.buildingsmart.org/#concept/details/2qg73FfIX6_v8VTtgcmQU5","2qg73FfIX6_v8VTtgcmQU5")</f>
        <v>2qg73FfIX6_v8VTtgcmQU5</v>
      </c>
      <c r="I57" s="120" t="s">
        <v>2042</v>
      </c>
      <c r="J57" s="195" t="s">
        <v>2236</v>
      </c>
      <c r="K57" s="193" t="s">
        <v>2042</v>
      </c>
      <c r="L57" s="248" t="s">
        <v>2239</v>
      </c>
      <c r="M57" s="210"/>
      <c r="N57" s="192" t="s">
        <v>1387</v>
      </c>
      <c r="O57" s="192" t="s">
        <v>865</v>
      </c>
      <c r="P57" s="206" t="s">
        <v>1392</v>
      </c>
      <c r="Q57" s="199" t="s">
        <v>1507</v>
      </c>
      <c r="R57" s="207"/>
      <c r="S57" s="207"/>
      <c r="T57" s="199" t="s">
        <v>2045</v>
      </c>
      <c r="U57" s="200"/>
      <c r="V57" s="200"/>
      <c r="W57" s="201"/>
      <c r="X57" s="201"/>
      <c r="Y57" s="201"/>
      <c r="Z57" s="202" t="str">
        <f t="shared" si="0"/>
        <v>RLOM CurtainWalls</v>
      </c>
      <c r="AA57" s="172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</row>
    <row r="58" spans="1:40" ht="27" customHeight="1">
      <c r="A58" s="190">
        <v>2</v>
      </c>
      <c r="B58" s="190" t="s">
        <v>398</v>
      </c>
      <c r="C58" s="190">
        <v>24</v>
      </c>
      <c r="D58" s="191" t="s">
        <v>1977</v>
      </c>
      <c r="E58" s="192">
        <v>243</v>
      </c>
      <c r="F58" s="192" t="s">
        <v>2040</v>
      </c>
      <c r="G58" s="193" t="s">
        <v>2041</v>
      </c>
      <c r="H58" s="212" t="str">
        <f>HYPERLINK("http://bsdd.buildingsmart.org/#concept/details/0qvuyfVsXEW95YRWQiKGH7","0qvuyfVsXEW95YRWQiKGH7")</f>
        <v>0qvuyfVsXEW95YRWQiKGH7</v>
      </c>
      <c r="I58" s="120" t="s">
        <v>4873</v>
      </c>
      <c r="J58" s="195" t="s">
        <v>2249</v>
      </c>
      <c r="K58" s="193" t="s">
        <v>2250</v>
      </c>
      <c r="L58" s="248" t="s">
        <v>2253</v>
      </c>
      <c r="M58" s="193" t="s">
        <v>2255</v>
      </c>
      <c r="N58" s="192" t="s">
        <v>1387</v>
      </c>
      <c r="O58" s="192" t="s">
        <v>865</v>
      </c>
      <c r="P58" s="206" t="s">
        <v>1392</v>
      </c>
      <c r="Q58" s="199" t="s">
        <v>800</v>
      </c>
      <c r="R58" s="207"/>
      <c r="S58" s="207"/>
      <c r="T58" s="199" t="s">
        <v>2045</v>
      </c>
      <c r="U58" s="200"/>
      <c r="V58" s="200"/>
      <c r="W58" s="201"/>
      <c r="X58" s="201"/>
      <c r="Y58" s="201"/>
      <c r="Z58" s="202" t="str">
        <f t="shared" si="0"/>
        <v>RLOM Walls</v>
      </c>
      <c r="AA58" s="172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</row>
    <row r="59" spans="1:40" ht="21.75" customHeight="1">
      <c r="A59" s="190">
        <v>2</v>
      </c>
      <c r="B59" s="190" t="s">
        <v>398</v>
      </c>
      <c r="C59" s="190">
        <v>24</v>
      </c>
      <c r="D59" s="191" t="s">
        <v>1977</v>
      </c>
      <c r="E59" s="192">
        <v>243</v>
      </c>
      <c r="F59" s="192" t="s">
        <v>2040</v>
      </c>
      <c r="G59" s="193" t="s">
        <v>2041</v>
      </c>
      <c r="H59" s="212" t="str">
        <f>HYPERLINK("http://bsdd.buildingsmart.org/#concept/details/13dU23KXP1pe4YFB3eg6NB","13dU23KXP1pe4YFB3eg6NB")</f>
        <v>13dU23KXP1pe4YFB3eg6NB</v>
      </c>
      <c r="I59" s="120" t="s">
        <v>2049</v>
      </c>
      <c r="J59" s="195" t="s">
        <v>2274</v>
      </c>
      <c r="K59" s="193" t="s">
        <v>2050</v>
      </c>
      <c r="L59" s="248" t="s">
        <v>2275</v>
      </c>
      <c r="M59" s="210"/>
      <c r="N59" s="192" t="s">
        <v>1387</v>
      </c>
      <c r="O59" s="192" t="s">
        <v>865</v>
      </c>
      <c r="P59" s="206" t="s">
        <v>1392</v>
      </c>
      <c r="Q59" s="199" t="s">
        <v>800</v>
      </c>
      <c r="R59" s="199" t="s">
        <v>802</v>
      </c>
      <c r="S59" s="207" t="s">
        <v>2054</v>
      </c>
      <c r="T59" s="199" t="s">
        <v>1998</v>
      </c>
      <c r="U59" s="200"/>
      <c r="V59" s="200"/>
      <c r="W59" s="201"/>
      <c r="X59" s="201"/>
      <c r="Y59" s="201"/>
      <c r="Z59" s="202" t="str">
        <f t="shared" si="0"/>
        <v>RLOM Walls</v>
      </c>
      <c r="AA59" s="172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</row>
    <row r="60" spans="1:40" ht="21.75" customHeight="1">
      <c r="A60" s="190">
        <v>2</v>
      </c>
      <c r="B60" s="190" t="s">
        <v>398</v>
      </c>
      <c r="C60" s="190">
        <v>24</v>
      </c>
      <c r="D60" s="191" t="s">
        <v>1977</v>
      </c>
      <c r="E60" s="192">
        <v>244</v>
      </c>
      <c r="F60" s="192" t="s">
        <v>2060</v>
      </c>
      <c r="G60" s="193" t="s">
        <v>2062</v>
      </c>
      <c r="H60" s="212" t="str">
        <f>HYPERLINK("http://bsdd.buildingsmart.org/#concept/details/14QkbnyFr0bgWyU0pURpX5","14QkbnyFr0bgWyU0pURpX5")</f>
        <v>14QkbnyFr0bgWyU0pURpX5</v>
      </c>
      <c r="I60" s="120" t="s">
        <v>4874</v>
      </c>
      <c r="J60" s="195" t="s">
        <v>2295</v>
      </c>
      <c r="K60" s="193"/>
      <c r="L60" s="248" t="s">
        <v>2297</v>
      </c>
      <c r="M60" s="210"/>
      <c r="N60" s="192" t="s">
        <v>2065</v>
      </c>
      <c r="O60" s="192" t="s">
        <v>2066</v>
      </c>
      <c r="P60" s="206" t="s">
        <v>2068</v>
      </c>
      <c r="Q60" s="199" t="s">
        <v>1543</v>
      </c>
      <c r="R60" s="207"/>
      <c r="S60" s="210"/>
      <c r="T60" s="207" t="s">
        <v>2070</v>
      </c>
      <c r="U60" s="200"/>
      <c r="V60" s="200"/>
      <c r="W60" s="201"/>
      <c r="X60" s="201"/>
      <c r="Y60" s="201"/>
      <c r="Z60" s="202" t="str">
        <f t="shared" si="0"/>
        <v>RLOM Doors</v>
      </c>
      <c r="AA60" s="172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</row>
    <row r="61" spans="1:40" ht="21.75" customHeight="1">
      <c r="A61" s="190">
        <v>2</v>
      </c>
      <c r="B61" s="190" t="s">
        <v>398</v>
      </c>
      <c r="C61" s="190">
        <v>24</v>
      </c>
      <c r="D61" s="191" t="s">
        <v>1977</v>
      </c>
      <c r="E61" s="192">
        <v>244</v>
      </c>
      <c r="F61" s="192" t="s">
        <v>2060</v>
      </c>
      <c r="G61" s="193" t="s">
        <v>2062</v>
      </c>
      <c r="H61" s="212" t="str">
        <f>HYPERLINK("http://bsdd.buildingsmart.org/#concept/details/05g8ZHoc5629gAwI4FzXKo","05g8ZHoc5629gAwI4FzXKo")</f>
        <v>05g8ZHoc5629gAwI4FzXKo</v>
      </c>
      <c r="I61" s="120" t="s">
        <v>2076</v>
      </c>
      <c r="J61" s="195" t="s">
        <v>2321</v>
      </c>
      <c r="K61" s="193" t="s">
        <v>2076</v>
      </c>
      <c r="L61" s="248" t="s">
        <v>2322</v>
      </c>
      <c r="M61" s="210"/>
      <c r="N61" s="192" t="s">
        <v>2080</v>
      </c>
      <c r="O61" s="192" t="s">
        <v>2082</v>
      </c>
      <c r="P61" s="206" t="s">
        <v>2084</v>
      </c>
      <c r="Q61" s="199" t="s">
        <v>800</v>
      </c>
      <c r="R61" s="199" t="s">
        <v>802</v>
      </c>
      <c r="S61" s="207" t="s">
        <v>2086</v>
      </c>
      <c r="T61" s="199" t="s">
        <v>1998</v>
      </c>
      <c r="U61" s="200"/>
      <c r="V61" s="200"/>
      <c r="W61" s="201"/>
      <c r="X61" s="201"/>
      <c r="Y61" s="201"/>
      <c r="Z61" s="202" t="str">
        <f t="shared" si="0"/>
        <v>RLOM Walls</v>
      </c>
      <c r="AA61" s="172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</row>
    <row r="62" spans="1:40" ht="36" customHeight="1">
      <c r="A62" s="190">
        <v>2</v>
      </c>
      <c r="B62" s="190" t="s">
        <v>398</v>
      </c>
      <c r="C62" s="190">
        <v>24</v>
      </c>
      <c r="D62" s="191" t="s">
        <v>1977</v>
      </c>
      <c r="E62" s="192">
        <v>244</v>
      </c>
      <c r="F62" s="192" t="s">
        <v>2060</v>
      </c>
      <c r="G62" s="193" t="s">
        <v>2062</v>
      </c>
      <c r="H62" s="212" t="str">
        <f>HYPERLINK("http://bsdd.buildingsmart.org/#concept/details/0rO5hENaL0Sx5ncSZm5QWi","0rO5hENaL0Sx5ncSZm5QWi")</f>
        <v>0rO5hENaL0Sx5ncSZm5QWi</v>
      </c>
      <c r="I62" s="121" t="s">
        <v>2092</v>
      </c>
      <c r="J62" s="216" t="s">
        <v>2366</v>
      </c>
      <c r="K62" s="193" t="s">
        <v>2092</v>
      </c>
      <c r="L62" s="248" t="s">
        <v>2367</v>
      </c>
      <c r="M62" s="210"/>
      <c r="N62" s="192" t="s">
        <v>2094</v>
      </c>
      <c r="O62" s="192" t="s">
        <v>2095</v>
      </c>
      <c r="P62" s="206" t="s">
        <v>2096</v>
      </c>
      <c r="Q62" s="199" t="s">
        <v>1034</v>
      </c>
      <c r="R62" s="199" t="s">
        <v>1035</v>
      </c>
      <c r="S62" s="199" t="s">
        <v>2098</v>
      </c>
      <c r="T62" s="199"/>
      <c r="U62" s="200"/>
      <c r="V62" s="200"/>
      <c r="W62" s="201"/>
      <c r="X62" s="201"/>
      <c r="Y62" s="201"/>
      <c r="Z62" s="202" t="str">
        <f t="shared" si="0"/>
        <v>RLOM Coverings</v>
      </c>
      <c r="AA62" s="172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</row>
    <row r="63" spans="1:40" ht="21.75" customHeight="1">
      <c r="A63" s="190">
        <v>2</v>
      </c>
      <c r="B63" s="190" t="s">
        <v>398</v>
      </c>
      <c r="C63" s="190">
        <v>24</v>
      </c>
      <c r="D63" s="191" t="s">
        <v>1977</v>
      </c>
      <c r="E63" s="192">
        <v>244</v>
      </c>
      <c r="F63" s="192" t="s">
        <v>2060</v>
      </c>
      <c r="G63" s="193" t="s">
        <v>2062</v>
      </c>
      <c r="H63" s="212" t="str">
        <f>HYPERLINK("http://bsdd.buildingsmart.org/#concept/details/3vHdccoT0Hsm00051Mm008","3vHdccoT0Hsm00051Mm008")</f>
        <v>3vHdccoT0Hsm00051Mm008</v>
      </c>
      <c r="I63" s="121" t="s">
        <v>4875</v>
      </c>
      <c r="J63" s="216" t="s">
        <v>2379</v>
      </c>
      <c r="K63" s="193"/>
      <c r="L63" s="248" t="s">
        <v>2381</v>
      </c>
      <c r="M63" s="210"/>
      <c r="N63" s="192" t="s">
        <v>1667</v>
      </c>
      <c r="O63" s="192" t="s">
        <v>1685</v>
      </c>
      <c r="P63" s="206" t="s">
        <v>1687</v>
      </c>
      <c r="Q63" s="199" t="s">
        <v>1690</v>
      </c>
      <c r="R63" s="207"/>
      <c r="S63" s="210"/>
      <c r="T63" s="207" t="s">
        <v>2107</v>
      </c>
      <c r="U63" s="200"/>
      <c r="V63" s="200"/>
      <c r="W63" s="201"/>
      <c r="X63" s="201"/>
      <c r="Y63" s="201"/>
      <c r="Z63" s="202" t="str">
        <f t="shared" si="0"/>
        <v>RLOM Windows</v>
      </c>
      <c r="AA63" s="172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</row>
    <row r="64" spans="1:40" ht="33" customHeight="1">
      <c r="A64" s="190">
        <v>2</v>
      </c>
      <c r="B64" s="190" t="s">
        <v>398</v>
      </c>
      <c r="C64" s="190">
        <v>24</v>
      </c>
      <c r="D64" s="191" t="s">
        <v>1977</v>
      </c>
      <c r="E64" s="192">
        <v>245</v>
      </c>
      <c r="F64" s="192" t="s">
        <v>2116</v>
      </c>
      <c r="G64" s="193"/>
      <c r="H64" s="212" t="str">
        <f>HYPERLINK("http://bsdd.buildingsmart.org/#concept/details/1mjA_uPnj0pPfqx4tpsO4J","1mjA_uPnj0pPfqx4tpsO4J")</f>
        <v>1mjA_uPnj0pPfqx4tpsO4J</v>
      </c>
      <c r="I64" s="119" t="s">
        <v>2121</v>
      </c>
      <c r="J64" s="209" t="s">
        <v>2389</v>
      </c>
      <c r="K64" s="193" t="s">
        <v>2116</v>
      </c>
      <c r="L64" s="248" t="s">
        <v>2391</v>
      </c>
      <c r="M64" s="210"/>
      <c r="N64" s="192" t="s">
        <v>1387</v>
      </c>
      <c r="O64" s="192" t="s">
        <v>865</v>
      </c>
      <c r="P64" s="206" t="s">
        <v>1392</v>
      </c>
      <c r="Q64" s="199" t="s">
        <v>800</v>
      </c>
      <c r="R64" s="207"/>
      <c r="S64" s="207"/>
      <c r="T64" s="199" t="s">
        <v>2219</v>
      </c>
      <c r="U64" s="200"/>
      <c r="V64" s="200"/>
      <c r="W64" s="201"/>
      <c r="X64" s="201"/>
      <c r="Y64" s="201"/>
      <c r="Z64" s="202" t="str">
        <f t="shared" si="0"/>
        <v>RLOM Walls</v>
      </c>
      <c r="AA64" s="172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</row>
    <row r="65" spans="1:40" ht="72" customHeight="1">
      <c r="A65" s="190">
        <v>2</v>
      </c>
      <c r="B65" s="190" t="s">
        <v>398</v>
      </c>
      <c r="C65" s="190">
        <v>24</v>
      </c>
      <c r="D65" s="191" t="s">
        <v>1977</v>
      </c>
      <c r="E65" s="192">
        <v>246</v>
      </c>
      <c r="F65" s="192" t="s">
        <v>1189</v>
      </c>
      <c r="G65" s="193" t="s">
        <v>2141</v>
      </c>
      <c r="H65" s="212" t="str">
        <f>HYPERLINK("http://bsdd.buildingsmart.org/#concept/details/2AM7HbpDfAFgnFn_0yKEyl","2AM7HbpDfAFgnFn_0yKEyl")</f>
        <v>2AM7HbpDfAFgnFn_0yKEyl</v>
      </c>
      <c r="I65" s="121" t="s">
        <v>4876</v>
      </c>
      <c r="J65" s="216" t="s">
        <v>2399</v>
      </c>
      <c r="K65" s="193" t="s">
        <v>2143</v>
      </c>
      <c r="L65" s="248" t="s">
        <v>2402</v>
      </c>
      <c r="M65" s="210"/>
      <c r="N65" s="192" t="s">
        <v>1203</v>
      </c>
      <c r="O65" s="192" t="s">
        <v>1204</v>
      </c>
      <c r="P65" s="206" t="s">
        <v>1205</v>
      </c>
      <c r="Q65" s="199" t="s">
        <v>1034</v>
      </c>
      <c r="R65" s="199" t="s">
        <v>1035</v>
      </c>
      <c r="S65" s="199" t="s">
        <v>1214</v>
      </c>
      <c r="T65" s="199"/>
      <c r="U65" s="200"/>
      <c r="V65" s="200"/>
      <c r="W65" s="201"/>
      <c r="X65" s="201"/>
      <c r="Y65" s="201"/>
      <c r="Z65" s="202" t="str">
        <f t="shared" si="0"/>
        <v>RLOM Coverings</v>
      </c>
      <c r="AA65" s="172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</row>
    <row r="66" spans="1:40" ht="54" customHeight="1">
      <c r="A66" s="190">
        <v>2</v>
      </c>
      <c r="B66" s="190" t="s">
        <v>398</v>
      </c>
      <c r="C66" s="190">
        <v>24</v>
      </c>
      <c r="D66" s="191" t="s">
        <v>1977</v>
      </c>
      <c r="E66" s="192">
        <v>248</v>
      </c>
      <c r="F66" s="192" t="s">
        <v>1021</v>
      </c>
      <c r="G66" s="193" t="s">
        <v>2151</v>
      </c>
      <c r="H66" s="212" t="str">
        <f>HYPERLINK("http://bsdd.buildingsmart.org/#concept/details/3vHPwWoT0Hsm00051Mm008","3vHPwWoT0Hsm00051Mm008")</f>
        <v>3vHPwWoT0Hsm00051Mm008</v>
      </c>
      <c r="I66" s="119" t="s">
        <v>4877</v>
      </c>
      <c r="J66" s="209" t="s">
        <v>2417</v>
      </c>
      <c r="K66" s="206" t="s">
        <v>1934</v>
      </c>
      <c r="L66" s="248" t="s">
        <v>2419</v>
      </c>
      <c r="M66" s="210"/>
      <c r="N66" s="192" t="s">
        <v>1248</v>
      </c>
      <c r="O66" s="203" t="s">
        <v>1249</v>
      </c>
      <c r="P66" s="206" t="s">
        <v>1250</v>
      </c>
      <c r="Q66" s="199" t="s">
        <v>652</v>
      </c>
      <c r="R66" s="199" t="s">
        <v>1251</v>
      </c>
      <c r="S66" s="199" t="s">
        <v>768</v>
      </c>
      <c r="T66" s="199"/>
      <c r="U66" s="200"/>
      <c r="V66" s="200"/>
      <c r="W66" s="201"/>
      <c r="X66" s="201"/>
      <c r="Y66" s="201"/>
      <c r="Z66" s="202" t="str">
        <f t="shared" si="0"/>
        <v>RLOM DiscreteAccessorys</v>
      </c>
      <c r="AA66" s="172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</row>
    <row r="67" spans="1:40" ht="36" customHeight="1">
      <c r="A67" s="190">
        <v>2</v>
      </c>
      <c r="B67" s="190" t="s">
        <v>398</v>
      </c>
      <c r="C67" s="190">
        <v>25</v>
      </c>
      <c r="D67" s="191" t="s">
        <v>2160</v>
      </c>
      <c r="E67" s="192">
        <v>251</v>
      </c>
      <c r="F67" s="192" t="s">
        <v>2162</v>
      </c>
      <c r="G67" s="193" t="s">
        <v>2163</v>
      </c>
      <c r="H67" s="212" t="str">
        <f>HYPERLINK("http://bsdd.buildingsmart.org/#concept/details/3vHcokoT0Hsm00051Mm008","3vHcokoT0Hsm00051Mm008")</f>
        <v>3vHcokoT0Hsm00051Mm008</v>
      </c>
      <c r="I67" s="119" t="s">
        <v>4878</v>
      </c>
      <c r="J67" s="209" t="s">
        <v>2427</v>
      </c>
      <c r="K67" s="193" t="s">
        <v>2428</v>
      </c>
      <c r="L67" s="248" t="s">
        <v>2429</v>
      </c>
      <c r="M67" s="210"/>
      <c r="N67" s="192" t="s">
        <v>906</v>
      </c>
      <c r="O67" s="192" t="s">
        <v>907</v>
      </c>
      <c r="P67" s="206" t="s">
        <v>909</v>
      </c>
      <c r="Q67" s="207" t="s">
        <v>928</v>
      </c>
      <c r="R67" s="199" t="s">
        <v>973</v>
      </c>
      <c r="S67" s="207" t="s">
        <v>2170</v>
      </c>
      <c r="T67" s="199"/>
      <c r="U67" s="200"/>
      <c r="V67" s="200"/>
      <c r="W67" s="201"/>
      <c r="X67" s="201"/>
      <c r="Y67" s="201"/>
      <c r="Z67" s="202" t="str">
        <f t="shared" si="0"/>
        <v>RLOM Slabs</v>
      </c>
      <c r="AA67" s="172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</row>
    <row r="68" spans="1:40" ht="36" customHeight="1">
      <c r="A68" s="190">
        <v>2</v>
      </c>
      <c r="B68" s="190" t="s">
        <v>398</v>
      </c>
      <c r="C68" s="190">
        <v>25</v>
      </c>
      <c r="D68" s="191" t="s">
        <v>2160</v>
      </c>
      <c r="E68" s="192">
        <v>251</v>
      </c>
      <c r="F68" s="192" t="s">
        <v>2162</v>
      </c>
      <c r="G68" s="193" t="s">
        <v>2163</v>
      </c>
      <c r="H68" s="212" t="str">
        <f>HYPERLINK("http://bsdd.buildingsmart.org/#concept/details/37bp3WfID3Ke_Jujl0x7ve","37bp3WfID3Ke_Jujl0x7ve")</f>
        <v>37bp3WfID3Ke_Jujl0x7ve</v>
      </c>
      <c r="I68" s="119" t="s">
        <v>2165</v>
      </c>
      <c r="J68" s="209" t="s">
        <v>2434</v>
      </c>
      <c r="K68" s="193" t="s">
        <v>2435</v>
      </c>
      <c r="L68" s="248" t="s">
        <v>2436</v>
      </c>
      <c r="M68" s="210"/>
      <c r="N68" s="192" t="s">
        <v>906</v>
      </c>
      <c r="O68" s="192" t="s">
        <v>907</v>
      </c>
      <c r="P68" s="206" t="s">
        <v>909</v>
      </c>
      <c r="Q68" s="207" t="s">
        <v>928</v>
      </c>
      <c r="R68" s="199" t="s">
        <v>973</v>
      </c>
      <c r="S68" s="207" t="s">
        <v>2170</v>
      </c>
      <c r="T68" s="199" t="s">
        <v>2171</v>
      </c>
      <c r="U68" s="200"/>
      <c r="V68" s="200"/>
      <c r="W68" s="201"/>
      <c r="X68" s="201"/>
      <c r="Y68" s="201"/>
      <c r="Z68" s="202" t="str">
        <f t="shared" si="0"/>
        <v>RLOM Slabs</v>
      </c>
      <c r="AA68" s="172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</row>
    <row r="69" spans="1:40" ht="21.75" customHeight="1">
      <c r="A69" s="190">
        <v>2</v>
      </c>
      <c r="B69" s="190" t="s">
        <v>398</v>
      </c>
      <c r="C69" s="190">
        <v>25</v>
      </c>
      <c r="D69" s="191" t="s">
        <v>2160</v>
      </c>
      <c r="E69" s="192">
        <v>251</v>
      </c>
      <c r="F69" s="192" t="s">
        <v>2162</v>
      </c>
      <c r="G69" s="193" t="s">
        <v>2163</v>
      </c>
      <c r="H69" s="212" t="str">
        <f>HYPERLINK("http://bsdd.buildingsmart.org/#concept/details/3vHbtWoT0Hsm00051Mm008","3vHbtWoT0Hsm00051Mm008")</f>
        <v>3vHbtWoT0Hsm00051Mm008</v>
      </c>
      <c r="I69" s="119" t="s">
        <v>2173</v>
      </c>
      <c r="J69" s="209" t="s">
        <v>2453</v>
      </c>
      <c r="K69" s="193"/>
      <c r="L69" s="248" t="s">
        <v>2454</v>
      </c>
      <c r="M69" s="210"/>
      <c r="N69" s="192" t="s">
        <v>2178</v>
      </c>
      <c r="O69" s="192" t="s">
        <v>2182</v>
      </c>
      <c r="P69" s="206" t="s">
        <v>2183</v>
      </c>
      <c r="Q69" s="207" t="s">
        <v>1100</v>
      </c>
      <c r="R69" s="207" t="s">
        <v>2184</v>
      </c>
      <c r="S69" s="199" t="s">
        <v>2185</v>
      </c>
      <c r="T69" s="199" t="s">
        <v>2186</v>
      </c>
      <c r="U69" s="200"/>
      <c r="V69" s="200"/>
      <c r="W69" s="201"/>
      <c r="X69" s="201"/>
      <c r="Y69" s="201"/>
      <c r="Z69" s="202" t="str">
        <f t="shared" si="0"/>
        <v>RLOM Beams</v>
      </c>
      <c r="AA69" s="172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</row>
    <row r="70" spans="1:40" ht="18" customHeight="1">
      <c r="A70" s="190">
        <v>2</v>
      </c>
      <c r="B70" s="190" t="s">
        <v>398</v>
      </c>
      <c r="C70" s="190">
        <v>25</v>
      </c>
      <c r="D70" s="191" t="s">
        <v>2160</v>
      </c>
      <c r="E70" s="192">
        <v>251</v>
      </c>
      <c r="F70" s="192" t="s">
        <v>2162</v>
      </c>
      <c r="G70" s="193" t="s">
        <v>2163</v>
      </c>
      <c r="H70" s="212" t="str">
        <f>HYPERLINK("http://bsdd.buildingsmart.org/#concept/details/2CemW1O$H3sPztwCpvLdCo","2CemW1O$H3sPztwCpvLdCo")</f>
        <v>2CemW1O$H3sPztwCpvLdCo</v>
      </c>
      <c r="I70" s="119" t="s">
        <v>2193</v>
      </c>
      <c r="J70" s="209" t="s">
        <v>2466</v>
      </c>
      <c r="K70" s="193"/>
      <c r="L70" s="248" t="s">
        <v>2468</v>
      </c>
      <c r="M70" s="210"/>
      <c r="N70" s="192" t="s">
        <v>2178</v>
      </c>
      <c r="O70" s="192" t="s">
        <v>2182</v>
      </c>
      <c r="P70" s="206" t="s">
        <v>2183</v>
      </c>
      <c r="Q70" s="207" t="s">
        <v>928</v>
      </c>
      <c r="R70" s="199" t="s">
        <v>973</v>
      </c>
      <c r="S70" s="207" t="s">
        <v>2170</v>
      </c>
      <c r="T70" s="199" t="s">
        <v>2171</v>
      </c>
      <c r="U70" s="200"/>
      <c r="V70" s="200"/>
      <c r="W70" s="201"/>
      <c r="X70" s="201"/>
      <c r="Y70" s="201"/>
      <c r="Z70" s="202" t="str">
        <f t="shared" si="0"/>
        <v>RLOM Slabs</v>
      </c>
      <c r="AA70" s="172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</row>
    <row r="71" spans="1:40" ht="36" customHeight="1">
      <c r="A71" s="190">
        <v>2</v>
      </c>
      <c r="B71" s="190" t="s">
        <v>398</v>
      </c>
      <c r="C71" s="190">
        <v>25</v>
      </c>
      <c r="D71" s="191" t="s">
        <v>2160</v>
      </c>
      <c r="E71" s="192">
        <v>252</v>
      </c>
      <c r="F71" s="192" t="s">
        <v>2195</v>
      </c>
      <c r="G71" s="193" t="s">
        <v>2197</v>
      </c>
      <c r="H71" s="212" t="str">
        <f>HYPERLINK("http://bsdd.buildingsmart.org/#concept/details/2dQA9mOoXBk8qv6Y9aSxTC","2dQA9mOoXBk8qv6Y9aSxTC")</f>
        <v>2dQA9mOoXBk8qv6Y9aSxTC</v>
      </c>
      <c r="I71" s="119" t="s">
        <v>4879</v>
      </c>
      <c r="J71" s="209" t="s">
        <v>2481</v>
      </c>
      <c r="K71" s="193"/>
      <c r="L71" s="248" t="s">
        <v>2484</v>
      </c>
      <c r="M71" s="210"/>
      <c r="N71" s="192" t="s">
        <v>906</v>
      </c>
      <c r="O71" s="192" t="s">
        <v>907</v>
      </c>
      <c r="P71" s="206" t="s">
        <v>909</v>
      </c>
      <c r="Q71" s="207" t="s">
        <v>928</v>
      </c>
      <c r="R71" s="199" t="s">
        <v>973</v>
      </c>
      <c r="S71" s="207" t="s">
        <v>975</v>
      </c>
      <c r="T71" s="199"/>
      <c r="U71" s="200"/>
      <c r="V71" s="200"/>
      <c r="W71" s="201"/>
      <c r="X71" s="201"/>
      <c r="Y71" s="201"/>
      <c r="Z71" s="202" t="str">
        <f t="shared" si="0"/>
        <v>RLOM Slabs</v>
      </c>
      <c r="AA71" s="172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</row>
    <row r="72" spans="1:40" ht="27" customHeight="1">
      <c r="A72" s="190">
        <v>2</v>
      </c>
      <c r="B72" s="190" t="s">
        <v>398</v>
      </c>
      <c r="C72" s="190">
        <v>25</v>
      </c>
      <c r="D72" s="191" t="s">
        <v>2160</v>
      </c>
      <c r="E72" s="192">
        <v>253</v>
      </c>
      <c r="F72" s="192" t="s">
        <v>2205</v>
      </c>
      <c r="G72" s="193" t="s">
        <v>2207</v>
      </c>
      <c r="H72" s="212" t="str">
        <f>HYPERLINK("http://bsdd.buildingsmart.org/#concept/details/2Eev6wD_LBCxUFj6sKGwTW","2Eev6wD_LBCxUFj6sKGwTW")</f>
        <v>2Eev6wD_LBCxUFj6sKGwTW</v>
      </c>
      <c r="I72" s="123" t="s">
        <v>4880</v>
      </c>
      <c r="J72" s="195" t="s">
        <v>2511</v>
      </c>
      <c r="K72" s="191" t="s">
        <v>2208</v>
      </c>
      <c r="L72" s="248" t="s">
        <v>2518</v>
      </c>
      <c r="M72" s="210"/>
      <c r="N72" s="192" t="s">
        <v>2211</v>
      </c>
      <c r="O72" s="192" t="s">
        <v>2212</v>
      </c>
      <c r="P72" s="206" t="s">
        <v>2213</v>
      </c>
      <c r="Q72" s="199" t="s">
        <v>928</v>
      </c>
      <c r="R72" s="199"/>
      <c r="S72" s="199"/>
      <c r="T72" s="199" t="s">
        <v>2217</v>
      </c>
      <c r="U72" s="200"/>
      <c r="V72" s="200"/>
      <c r="W72" s="201"/>
      <c r="X72" s="201"/>
      <c r="Y72" s="201"/>
      <c r="Z72" s="202" t="str">
        <f t="shared" si="0"/>
        <v>RLOM Slabs</v>
      </c>
      <c r="AA72" s="172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</row>
    <row r="73" spans="1:40" ht="21.75" customHeight="1">
      <c r="A73" s="190">
        <v>2</v>
      </c>
      <c r="B73" s="190" t="s">
        <v>398</v>
      </c>
      <c r="C73" s="190">
        <v>25</v>
      </c>
      <c r="D73" s="191" t="s">
        <v>2160</v>
      </c>
      <c r="E73" s="192">
        <v>253</v>
      </c>
      <c r="F73" s="192" t="s">
        <v>2205</v>
      </c>
      <c r="G73" s="193" t="s">
        <v>2207</v>
      </c>
      <c r="H73" s="212" t="str">
        <f>HYPERLINK("http://bsdd.buildingsmart.org/#concept/details/2vbgD_0Aj6wgahmaNW2f9k","2vbgD_0Aj6wgahmaNW2f9k")</f>
        <v>2vbgD_0Aj6wgahmaNW2f9k</v>
      </c>
      <c r="I73" s="123" t="s">
        <v>4881</v>
      </c>
      <c r="J73" s="195" t="s">
        <v>2531</v>
      </c>
      <c r="K73" s="191" t="s">
        <v>2232</v>
      </c>
      <c r="L73" s="248" t="s">
        <v>2546</v>
      </c>
      <c r="M73" s="210"/>
      <c r="N73" s="192" t="s">
        <v>2251</v>
      </c>
      <c r="O73" s="192" t="s">
        <v>2252</v>
      </c>
      <c r="P73" s="206" t="s">
        <v>2254</v>
      </c>
      <c r="Q73" s="199" t="s">
        <v>928</v>
      </c>
      <c r="R73" s="199"/>
      <c r="S73" s="199"/>
      <c r="T73" s="199" t="s">
        <v>2217</v>
      </c>
      <c r="U73" s="200"/>
      <c r="V73" s="200"/>
      <c r="W73" s="201"/>
      <c r="X73" s="201"/>
      <c r="Y73" s="201"/>
      <c r="Z73" s="202" t="str">
        <f t="shared" si="0"/>
        <v>RLOM Slabs</v>
      </c>
      <c r="AA73" s="172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</row>
    <row r="74" spans="1:40" ht="21.75" customHeight="1">
      <c r="A74" s="190">
        <v>2</v>
      </c>
      <c r="B74" s="190" t="s">
        <v>398</v>
      </c>
      <c r="C74" s="190">
        <v>25</v>
      </c>
      <c r="D74" s="191" t="s">
        <v>2160</v>
      </c>
      <c r="E74" s="192">
        <v>254</v>
      </c>
      <c r="F74" s="192" t="s">
        <v>2264</v>
      </c>
      <c r="G74" s="193" t="s">
        <v>2266</v>
      </c>
      <c r="H74" s="212" t="str">
        <f>HYPERLINK("http://bsdd.buildingsmart.org/#concept/details/3K1xegFzH0sBbcBGqEK2gd","3K1xegFzH0sBbcBGqEK2gd")</f>
        <v>3K1xegFzH0sBbcBGqEK2gd</v>
      </c>
      <c r="I74" s="119" t="s">
        <v>4882</v>
      </c>
      <c r="J74" s="209" t="s">
        <v>2559</v>
      </c>
      <c r="K74" s="193" t="s">
        <v>2270</v>
      </c>
      <c r="L74" s="248" t="s">
        <v>2560</v>
      </c>
      <c r="M74" s="210"/>
      <c r="N74" s="192"/>
      <c r="O74" s="192"/>
      <c r="P74" s="206"/>
      <c r="Q74" s="207" t="s">
        <v>928</v>
      </c>
      <c r="R74" s="199" t="s">
        <v>973</v>
      </c>
      <c r="S74" s="199" t="s">
        <v>2170</v>
      </c>
      <c r="T74" s="199" t="s">
        <v>2217</v>
      </c>
      <c r="U74" s="200"/>
      <c r="V74" s="200"/>
      <c r="W74" s="201"/>
      <c r="X74" s="201"/>
      <c r="Y74" s="201"/>
      <c r="Z74" s="202" t="str">
        <f t="shared" si="0"/>
        <v>RLOM Slabs</v>
      </c>
      <c r="AA74" s="172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</row>
    <row r="75" spans="1:40" ht="36" customHeight="1">
      <c r="A75" s="190">
        <v>2</v>
      </c>
      <c r="B75" s="190" t="s">
        <v>398</v>
      </c>
      <c r="C75" s="190">
        <v>25</v>
      </c>
      <c r="D75" s="191" t="s">
        <v>2160</v>
      </c>
      <c r="E75" s="192">
        <v>255</v>
      </c>
      <c r="F75" s="192" t="s">
        <v>2291</v>
      </c>
      <c r="G75" s="193" t="s">
        <v>2292</v>
      </c>
      <c r="H75" s="212" t="str">
        <f>HYPERLINK("http://bsdd.buildingsmart.org/#concept/details/3cahuh$c1979M3z6LXQ2im","3cahuh$c1979M3z6LXQ2im")</f>
        <v>3cahuh$c1979M3z6LXQ2im</v>
      </c>
      <c r="I75" s="121" t="s">
        <v>2294</v>
      </c>
      <c r="J75" s="216" t="s">
        <v>2568</v>
      </c>
      <c r="K75" s="193" t="s">
        <v>2294</v>
      </c>
      <c r="L75" s="248" t="s">
        <v>2569</v>
      </c>
      <c r="M75" s="210"/>
      <c r="N75" s="192" t="s">
        <v>2094</v>
      </c>
      <c r="O75" s="192" t="s">
        <v>2095</v>
      </c>
      <c r="P75" s="206" t="s">
        <v>2096</v>
      </c>
      <c r="Q75" s="199" t="s">
        <v>1034</v>
      </c>
      <c r="R75" s="199" t="s">
        <v>1035</v>
      </c>
      <c r="S75" s="199" t="s">
        <v>2354</v>
      </c>
      <c r="T75" s="199"/>
      <c r="U75" s="200"/>
      <c r="V75" s="200"/>
      <c r="W75" s="201"/>
      <c r="X75" s="201"/>
      <c r="Y75" s="201"/>
      <c r="Z75" s="202" t="str">
        <f t="shared" si="0"/>
        <v>RLOM Coverings</v>
      </c>
      <c r="AA75" s="172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</row>
    <row r="76" spans="1:40" ht="72" customHeight="1">
      <c r="A76" s="190">
        <v>2</v>
      </c>
      <c r="B76" s="190" t="s">
        <v>398</v>
      </c>
      <c r="C76" s="190">
        <v>25</v>
      </c>
      <c r="D76" s="191" t="s">
        <v>2160</v>
      </c>
      <c r="E76" s="192">
        <v>255</v>
      </c>
      <c r="F76" s="192" t="s">
        <v>2291</v>
      </c>
      <c r="G76" s="193" t="s">
        <v>2292</v>
      </c>
      <c r="H76" s="212" t="str">
        <f>HYPERLINK("http://bsdd.buildingsmart.org/#concept/details/3vHNf_oT0Hsm00051Mm008","3vHNf_oT0Hsm00051Mm008")</f>
        <v>3vHNf_oT0Hsm00051Mm008</v>
      </c>
      <c r="I76" s="119" t="s">
        <v>2291</v>
      </c>
      <c r="J76" s="209" t="s">
        <v>2583</v>
      </c>
      <c r="K76" s="206" t="s">
        <v>2584</v>
      </c>
      <c r="L76" s="248" t="s">
        <v>2590</v>
      </c>
      <c r="M76" s="210"/>
      <c r="N76" s="192" t="s">
        <v>1203</v>
      </c>
      <c r="O76" s="192" t="s">
        <v>1204</v>
      </c>
      <c r="P76" s="206" t="s">
        <v>1205</v>
      </c>
      <c r="Q76" s="199" t="s">
        <v>1034</v>
      </c>
      <c r="R76" s="199" t="s">
        <v>1035</v>
      </c>
      <c r="S76" s="199" t="s">
        <v>2377</v>
      </c>
      <c r="T76" s="199"/>
      <c r="U76" s="200"/>
      <c r="V76" s="200"/>
      <c r="W76" s="201"/>
      <c r="X76" s="201"/>
      <c r="Y76" s="201"/>
      <c r="Z76" s="202" t="str">
        <f t="shared" si="0"/>
        <v>RLOM Coverings</v>
      </c>
      <c r="AA76" s="172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</row>
    <row r="77" spans="1:40" ht="33" customHeight="1">
      <c r="A77" s="190">
        <v>2</v>
      </c>
      <c r="B77" s="190" t="s">
        <v>398</v>
      </c>
      <c r="C77" s="190">
        <v>25</v>
      </c>
      <c r="D77" s="191" t="s">
        <v>2160</v>
      </c>
      <c r="E77" s="192">
        <v>256</v>
      </c>
      <c r="F77" s="192" t="s">
        <v>2386</v>
      </c>
      <c r="G77" s="193" t="s">
        <v>2387</v>
      </c>
      <c r="H77" s="212" t="str">
        <f>HYPERLINK("http://bsdd.buildingsmart.org/#concept/details/1V_7C7sZD1Lfhv9UdcGRtk","1V_7C7sZD1Lfhv9UdcGRtk")</f>
        <v>1V_7C7sZD1Lfhv9UdcGRtk</v>
      </c>
      <c r="I77" s="119" t="s">
        <v>2388</v>
      </c>
      <c r="J77" s="209" t="s">
        <v>2603</v>
      </c>
      <c r="K77" s="206" t="s">
        <v>2394</v>
      </c>
      <c r="L77" s="248" t="s">
        <v>2604</v>
      </c>
      <c r="M77" s="210"/>
      <c r="N77" s="192" t="s">
        <v>2396</v>
      </c>
      <c r="O77" s="192" t="s">
        <v>2397</v>
      </c>
      <c r="P77" s="206" t="s">
        <v>2398</v>
      </c>
      <c r="Q77" s="199" t="s">
        <v>1034</v>
      </c>
      <c r="R77" s="199" t="s">
        <v>1035</v>
      </c>
      <c r="S77" s="199" t="s">
        <v>2400</v>
      </c>
      <c r="T77" s="199" t="s">
        <v>2405</v>
      </c>
      <c r="U77" s="200"/>
      <c r="V77" s="200"/>
      <c r="W77" s="201"/>
      <c r="X77" s="201"/>
      <c r="Y77" s="201"/>
      <c r="Z77" s="202" t="str">
        <f t="shared" si="0"/>
        <v>RLOM Coverings</v>
      </c>
      <c r="AA77" s="172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</row>
    <row r="78" spans="1:40" ht="36" customHeight="1">
      <c r="A78" s="190">
        <v>2</v>
      </c>
      <c r="B78" s="190" t="s">
        <v>398</v>
      </c>
      <c r="C78" s="190">
        <v>25</v>
      </c>
      <c r="D78" s="191" t="s">
        <v>2160</v>
      </c>
      <c r="E78" s="192">
        <v>256</v>
      </c>
      <c r="F78" s="192" t="s">
        <v>2386</v>
      </c>
      <c r="G78" s="193" t="s">
        <v>2387</v>
      </c>
      <c r="H78" s="212" t="str">
        <f>HYPERLINK("http://bsdd.buildingsmart.org/#concept/details/39P8INeF1DvPcZnWFCA0jO","39P8INeF1DvPcZnWFCA0jO")</f>
        <v>39P8INeF1DvPcZnWFCA0jO</v>
      </c>
      <c r="I78" s="121" t="s">
        <v>2431</v>
      </c>
      <c r="J78" s="216" t="s">
        <v>2608</v>
      </c>
      <c r="K78" s="193" t="s">
        <v>2431</v>
      </c>
      <c r="L78" s="248" t="s">
        <v>2367</v>
      </c>
      <c r="M78" s="210"/>
      <c r="N78" s="192" t="s">
        <v>2094</v>
      </c>
      <c r="O78" s="192" t="s">
        <v>2095</v>
      </c>
      <c r="P78" s="206" t="s">
        <v>2096</v>
      </c>
      <c r="Q78" s="199" t="s">
        <v>1034</v>
      </c>
      <c r="R78" s="199" t="s">
        <v>1035</v>
      </c>
      <c r="S78" s="199" t="s">
        <v>2098</v>
      </c>
      <c r="T78" s="199"/>
      <c r="U78" s="200"/>
      <c r="V78" s="200"/>
      <c r="W78" s="201"/>
      <c r="X78" s="201"/>
      <c r="Y78" s="201"/>
      <c r="Z78" s="202" t="str">
        <f t="shared" si="0"/>
        <v>RLOM Coverings</v>
      </c>
      <c r="AA78" s="172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</row>
    <row r="79" spans="1:40" ht="18" customHeight="1">
      <c r="A79" s="190">
        <v>2</v>
      </c>
      <c r="B79" s="190" t="s">
        <v>398</v>
      </c>
      <c r="C79" s="190">
        <v>25</v>
      </c>
      <c r="D79" s="191" t="s">
        <v>2160</v>
      </c>
      <c r="E79" s="192">
        <v>257</v>
      </c>
      <c r="F79" s="192" t="s">
        <v>2439</v>
      </c>
      <c r="G79" s="193" t="s">
        <v>2440</v>
      </c>
      <c r="H79" s="212" t="str">
        <f>HYPERLINK("http://bsdd.buildingsmart.org/#concept/details/1WO2nIzLLFL9UsDFNObJwk","1WO2nIzLLFL9UsDFNObJwk")</f>
        <v>1WO2nIzLLFL9UsDFNObJwk</v>
      </c>
      <c r="I79" s="119" t="s">
        <v>2441</v>
      </c>
      <c r="J79" s="209" t="s">
        <v>2619</v>
      </c>
      <c r="K79" s="206" t="s">
        <v>2620</v>
      </c>
      <c r="L79" s="248" t="s">
        <v>2621</v>
      </c>
      <c r="M79" s="210"/>
      <c r="N79" s="192" t="s">
        <v>2396</v>
      </c>
      <c r="O79" s="192" t="s">
        <v>2397</v>
      </c>
      <c r="P79" s="206" t="s">
        <v>2398</v>
      </c>
      <c r="Q79" s="199" t="s">
        <v>1034</v>
      </c>
      <c r="R79" s="199" t="s">
        <v>1035</v>
      </c>
      <c r="S79" s="199" t="s">
        <v>2400</v>
      </c>
      <c r="T79" s="199" t="s">
        <v>2405</v>
      </c>
      <c r="U79" s="200"/>
      <c r="V79" s="200"/>
      <c r="W79" s="201"/>
      <c r="X79" s="201"/>
      <c r="Y79" s="201"/>
      <c r="Z79" s="202" t="str">
        <f t="shared" si="0"/>
        <v>RLOM Coverings</v>
      </c>
      <c r="AA79" s="172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</row>
    <row r="80" spans="1:40" ht="21.75" customHeight="1">
      <c r="A80" s="190">
        <v>2</v>
      </c>
      <c r="B80" s="190" t="s">
        <v>398</v>
      </c>
      <c r="C80" s="190">
        <v>25</v>
      </c>
      <c r="D80" s="191" t="s">
        <v>2160</v>
      </c>
      <c r="E80" s="192">
        <v>257</v>
      </c>
      <c r="F80" s="192" t="s">
        <v>2461</v>
      </c>
      <c r="G80" s="193" t="s">
        <v>2440</v>
      </c>
      <c r="H80" s="212" t="str">
        <f>HYPERLINK("http://bsdd.buildingsmart.org/#concept/details/2ipzuykAv3bhlHn72OW_XD","2ipzuykAv3bhlHn72OW_XD")</f>
        <v>2ipzuykAv3bhlHn72OW_XD</v>
      </c>
      <c r="I80" s="119" t="s">
        <v>4883</v>
      </c>
      <c r="J80" s="209" t="s">
        <v>2636</v>
      </c>
      <c r="K80" s="206" t="s">
        <v>2620</v>
      </c>
      <c r="L80" s="248" t="s">
        <v>2621</v>
      </c>
      <c r="M80" s="210"/>
      <c r="N80" s="192" t="s">
        <v>2396</v>
      </c>
      <c r="O80" s="192" t="s">
        <v>2397</v>
      </c>
      <c r="P80" s="206" t="s">
        <v>2398</v>
      </c>
      <c r="Q80" s="199" t="s">
        <v>1034</v>
      </c>
      <c r="R80" s="199" t="s">
        <v>1035</v>
      </c>
      <c r="S80" s="199" t="s">
        <v>2400</v>
      </c>
      <c r="T80" s="199"/>
      <c r="U80" s="200"/>
      <c r="V80" s="200"/>
      <c r="W80" s="201"/>
      <c r="X80" s="201"/>
      <c r="Y80" s="201"/>
      <c r="Z80" s="202" t="str">
        <f t="shared" si="0"/>
        <v>RLOM Coverings</v>
      </c>
      <c r="AA80" s="172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</row>
    <row r="81" spans="1:40" ht="21.75" customHeight="1">
      <c r="A81" s="190">
        <v>2</v>
      </c>
      <c r="B81" s="190" t="s">
        <v>398</v>
      </c>
      <c r="C81" s="190">
        <v>25</v>
      </c>
      <c r="D81" s="191" t="s">
        <v>2160</v>
      </c>
      <c r="E81" s="192">
        <v>258</v>
      </c>
      <c r="F81" s="192" t="s">
        <v>1021</v>
      </c>
      <c r="G81" s="193" t="s">
        <v>2492</v>
      </c>
      <c r="H81" s="212" t="str">
        <f>HYPERLINK("http://bsdd.buildingsmart.org/#concept/details/2$2dVbLAXC3fPrg$4cA_ca","2$2dVbLAXC3fPrg$4cA_ca")</f>
        <v>2$2dVbLAXC3fPrg$4cA_ca</v>
      </c>
      <c r="I81" s="119" t="s">
        <v>4884</v>
      </c>
      <c r="J81" s="209" t="s">
        <v>2650</v>
      </c>
      <c r="K81" s="206" t="s">
        <v>2494</v>
      </c>
      <c r="L81" s="248" t="s">
        <v>2651</v>
      </c>
      <c r="M81" s="210"/>
      <c r="N81" s="192" t="s">
        <v>1027</v>
      </c>
      <c r="O81" s="192" t="s">
        <v>1032</v>
      </c>
      <c r="P81" s="206" t="s">
        <v>1033</v>
      </c>
      <c r="Q81" s="199" t="s">
        <v>1034</v>
      </c>
      <c r="R81" s="199" t="s">
        <v>1035</v>
      </c>
      <c r="S81" s="199" t="s">
        <v>1037</v>
      </c>
      <c r="T81" s="199"/>
      <c r="U81" s="200"/>
      <c r="V81" s="200"/>
      <c r="W81" s="201"/>
      <c r="X81" s="201"/>
      <c r="Y81" s="201"/>
      <c r="Z81" s="202" t="str">
        <f t="shared" si="0"/>
        <v>RLOM Coverings</v>
      </c>
      <c r="AA81" s="172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</row>
    <row r="82" spans="1:40" ht="21.75" customHeight="1">
      <c r="A82" s="190">
        <v>2</v>
      </c>
      <c r="B82" s="190" t="s">
        <v>398</v>
      </c>
      <c r="C82" s="190">
        <v>25</v>
      </c>
      <c r="D82" s="191" t="s">
        <v>2160</v>
      </c>
      <c r="E82" s="192">
        <v>258</v>
      </c>
      <c r="F82" s="192" t="s">
        <v>1021</v>
      </c>
      <c r="G82" s="193" t="s">
        <v>2492</v>
      </c>
      <c r="H82" s="212" t="str">
        <f>HYPERLINK("http://bsdd.buildingsmart.org/#concept/details/3vHSkCoT0Hsm00051Mm008","3vHSkCoT0Hsm00051Mm008")</f>
        <v>3vHSkCoT0Hsm00051Mm008</v>
      </c>
      <c r="I82" s="119" t="s">
        <v>2504</v>
      </c>
      <c r="J82" s="209" t="s">
        <v>2658</v>
      </c>
      <c r="K82" s="206" t="s">
        <v>2505</v>
      </c>
      <c r="L82" s="248" t="s">
        <v>2659</v>
      </c>
      <c r="M82" s="210"/>
      <c r="N82" s="192" t="s">
        <v>2507</v>
      </c>
      <c r="O82" s="192" t="s">
        <v>2508</v>
      </c>
      <c r="P82" s="206" t="s">
        <v>2509</v>
      </c>
      <c r="Q82" s="199" t="s">
        <v>1034</v>
      </c>
      <c r="R82" s="199" t="s">
        <v>1035</v>
      </c>
      <c r="S82" s="199" t="s">
        <v>2510</v>
      </c>
      <c r="T82" s="199"/>
      <c r="U82" s="200"/>
      <c r="V82" s="200"/>
      <c r="W82" s="201"/>
      <c r="X82" s="201"/>
      <c r="Y82" s="201"/>
      <c r="Z82" s="202" t="str">
        <f t="shared" si="0"/>
        <v>RLOM Coverings</v>
      </c>
      <c r="AA82" s="172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</row>
    <row r="83" spans="1:40" ht="36" customHeight="1">
      <c r="A83" s="190">
        <v>2</v>
      </c>
      <c r="B83" s="190" t="s">
        <v>398</v>
      </c>
      <c r="C83" s="190">
        <v>25</v>
      </c>
      <c r="D83" s="191" t="s">
        <v>2160</v>
      </c>
      <c r="E83" s="192">
        <v>258</v>
      </c>
      <c r="F83" s="192" t="s">
        <v>1021</v>
      </c>
      <c r="G83" s="193" t="s">
        <v>2492</v>
      </c>
      <c r="H83" s="212" t="str">
        <f>HYPERLINK("http://bsdd.buildingsmart.org/#concept/details/0AfG_0gSCHtW00025QrE$V","0AfG_0gSCHtW00025QrE$V")</f>
        <v>0AfG_0gSCHtW00025QrE$V</v>
      </c>
      <c r="I83" s="119" t="s">
        <v>2533</v>
      </c>
      <c r="J83" s="209" t="s">
        <v>2670</v>
      </c>
      <c r="K83" s="206" t="s">
        <v>2534</v>
      </c>
      <c r="L83" s="248" t="s">
        <v>2671</v>
      </c>
      <c r="M83" s="210"/>
      <c r="N83" s="192" t="s">
        <v>2536</v>
      </c>
      <c r="O83" s="192" t="s">
        <v>2537</v>
      </c>
      <c r="P83" s="206" t="s">
        <v>2538</v>
      </c>
      <c r="Q83" s="199" t="s">
        <v>1034</v>
      </c>
      <c r="R83" s="199"/>
      <c r="S83" s="199"/>
      <c r="T83" s="199"/>
      <c r="U83" s="200"/>
      <c r="V83" s="200"/>
      <c r="W83" s="201"/>
      <c r="X83" s="201"/>
      <c r="Y83" s="201"/>
      <c r="Z83" s="202" t="str">
        <f t="shared" si="0"/>
        <v>RLOM Coverings</v>
      </c>
      <c r="AA83" s="172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</row>
    <row r="84" spans="1:40" ht="45" customHeight="1">
      <c r="A84" s="190">
        <v>2</v>
      </c>
      <c r="B84" s="190" t="s">
        <v>398</v>
      </c>
      <c r="C84" s="190">
        <v>26</v>
      </c>
      <c r="D84" s="191" t="s">
        <v>2542</v>
      </c>
      <c r="E84" s="192">
        <v>261</v>
      </c>
      <c r="F84" s="192" t="s">
        <v>2543</v>
      </c>
      <c r="G84" s="193" t="s">
        <v>2544</v>
      </c>
      <c r="H84" s="212" t="str">
        <f t="shared" ref="H84:H85" si="3">HYPERLINK("http://bsdd.buildingsmart.org/#concept/details/3vHYr8oT0Hsm00051Mm008","3vHYr8oT0Hsm00051Mm008")</f>
        <v>3vHYr8oT0Hsm00051Mm008</v>
      </c>
      <c r="I84" s="119" t="s">
        <v>4885</v>
      </c>
      <c r="J84" s="209" t="s">
        <v>2690</v>
      </c>
      <c r="K84" s="193" t="s">
        <v>2691</v>
      </c>
      <c r="L84" s="248" t="s">
        <v>2692</v>
      </c>
      <c r="M84" s="192" t="s">
        <v>2554</v>
      </c>
      <c r="N84" s="192"/>
      <c r="O84" s="192"/>
      <c r="P84" s="206"/>
      <c r="Q84" s="199" t="s">
        <v>2556</v>
      </c>
      <c r="R84" s="192"/>
      <c r="S84" s="207"/>
      <c r="T84" s="199"/>
      <c r="U84" s="200"/>
      <c r="V84" s="200"/>
      <c r="W84" s="201"/>
      <c r="X84" s="201"/>
      <c r="Y84" s="201"/>
      <c r="Z84" s="202" t="str">
        <f t="shared" si="0"/>
        <v>RLOM Roofs</v>
      </c>
      <c r="AA84" s="172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</row>
    <row r="85" spans="1:40" ht="45" customHeight="1">
      <c r="A85" s="190">
        <v>2</v>
      </c>
      <c r="B85" s="190" t="s">
        <v>398</v>
      </c>
      <c r="C85" s="190">
        <v>26</v>
      </c>
      <c r="D85" s="191" t="s">
        <v>2542</v>
      </c>
      <c r="E85" s="192">
        <v>261</v>
      </c>
      <c r="F85" s="192" t="s">
        <v>2543</v>
      </c>
      <c r="G85" s="193" t="s">
        <v>2544</v>
      </c>
      <c r="H85" s="212" t="str">
        <f t="shared" si="3"/>
        <v>3vHYr8oT0Hsm00051Mm008</v>
      </c>
      <c r="I85" s="119" t="s">
        <v>4886</v>
      </c>
      <c r="J85" s="209" t="s">
        <v>2696</v>
      </c>
      <c r="K85" s="193" t="s">
        <v>2700</v>
      </c>
      <c r="L85" s="248" t="s">
        <v>2692</v>
      </c>
      <c r="M85" s="192" t="s">
        <v>2554</v>
      </c>
      <c r="N85" s="192"/>
      <c r="O85" s="192"/>
      <c r="P85" s="206"/>
      <c r="Q85" s="199" t="s">
        <v>2556</v>
      </c>
      <c r="R85" s="192"/>
      <c r="S85" s="207"/>
      <c r="T85" s="199"/>
      <c r="U85" s="200"/>
      <c r="V85" s="200"/>
      <c r="W85" s="201"/>
      <c r="X85" s="201"/>
      <c r="Y85" s="201"/>
      <c r="Z85" s="202" t="str">
        <f t="shared" si="0"/>
        <v>RLOM Roofs</v>
      </c>
      <c r="AA85" s="172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</row>
    <row r="86" spans="1:40" ht="45" customHeight="1">
      <c r="A86" s="190">
        <v>2</v>
      </c>
      <c r="B86" s="190" t="s">
        <v>398</v>
      </c>
      <c r="C86" s="190">
        <v>26</v>
      </c>
      <c r="D86" s="191" t="s">
        <v>2542</v>
      </c>
      <c r="E86" s="192">
        <v>261</v>
      </c>
      <c r="F86" s="192" t="s">
        <v>2543</v>
      </c>
      <c r="G86" s="193" t="s">
        <v>2544</v>
      </c>
      <c r="H86" s="212" t="str">
        <f>HYPERLINK("http://bsdd.buildingsmart.org/#concept/details/3Hvwx39_rCaRS49F4qRGBb","3Hvwx39_rCaRS49F4qRGBb")</f>
        <v>3Hvwx39_rCaRS49F4qRGBb</v>
      </c>
      <c r="I86" s="119" t="s">
        <v>4887</v>
      </c>
      <c r="J86" s="209" t="s">
        <v>2717</v>
      </c>
      <c r="K86" s="193" t="s">
        <v>2718</v>
      </c>
      <c r="L86" s="248" t="s">
        <v>2692</v>
      </c>
      <c r="M86" s="192" t="s">
        <v>2577</v>
      </c>
      <c r="N86" s="192"/>
      <c r="O86" s="192"/>
      <c r="P86" s="206"/>
      <c r="Q86" s="207" t="s">
        <v>928</v>
      </c>
      <c r="R86" s="199" t="s">
        <v>973</v>
      </c>
      <c r="S86" s="207" t="s">
        <v>2578</v>
      </c>
      <c r="T86" s="199"/>
      <c r="U86" s="200"/>
      <c r="V86" s="200"/>
      <c r="W86" s="201"/>
      <c r="X86" s="201"/>
      <c r="Y86" s="201"/>
      <c r="Z86" s="202" t="str">
        <f t="shared" si="0"/>
        <v>RLOM Slabs</v>
      </c>
      <c r="AA86" s="172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</row>
    <row r="87" spans="1:40" ht="72" customHeight="1">
      <c r="A87" s="190">
        <v>2</v>
      </c>
      <c r="B87" s="190" t="s">
        <v>398</v>
      </c>
      <c r="C87" s="190">
        <v>26</v>
      </c>
      <c r="D87" s="191" t="s">
        <v>2542</v>
      </c>
      <c r="E87" s="192">
        <v>262</v>
      </c>
      <c r="F87" s="192" t="s">
        <v>2579</v>
      </c>
      <c r="G87" s="193" t="s">
        <v>2580</v>
      </c>
      <c r="H87" s="212" t="str">
        <f>HYPERLINK("http://bsdd.buildingsmart.org/#concept/details/1roIuYcU5AxfQM_Wf18q7t","1roIuYcU5AxfQM_Wf18q7t")</f>
        <v>1roIuYcU5AxfQM_Wf18q7t</v>
      </c>
      <c r="I87" s="119" t="s">
        <v>2579</v>
      </c>
      <c r="J87" s="209" t="s">
        <v>2747</v>
      </c>
      <c r="K87" s="206" t="s">
        <v>2579</v>
      </c>
      <c r="L87" s="248" t="s">
        <v>2748</v>
      </c>
      <c r="M87" s="210"/>
      <c r="N87" s="192" t="s">
        <v>1203</v>
      </c>
      <c r="O87" s="192" t="s">
        <v>1204</v>
      </c>
      <c r="P87" s="206" t="s">
        <v>1205</v>
      </c>
      <c r="Q87" s="199" t="s">
        <v>1034</v>
      </c>
      <c r="R87" s="199" t="s">
        <v>1035</v>
      </c>
      <c r="S87" s="199" t="s">
        <v>2586</v>
      </c>
      <c r="T87" s="192"/>
      <c r="U87" s="200"/>
      <c r="V87" s="200"/>
      <c r="W87" s="201"/>
      <c r="X87" s="201"/>
      <c r="Y87" s="201"/>
      <c r="Z87" s="202" t="str">
        <f t="shared" si="0"/>
        <v>RLOM Coverings</v>
      </c>
      <c r="AA87" s="172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</row>
    <row r="88" spans="1:40" ht="21.75" customHeight="1">
      <c r="A88" s="190">
        <v>2</v>
      </c>
      <c r="B88" s="190" t="s">
        <v>398</v>
      </c>
      <c r="C88" s="190">
        <v>26</v>
      </c>
      <c r="D88" s="191" t="s">
        <v>2542</v>
      </c>
      <c r="E88" s="192">
        <v>263</v>
      </c>
      <c r="F88" s="192" t="s">
        <v>2599</v>
      </c>
      <c r="G88" s="193" t="s">
        <v>2600</v>
      </c>
      <c r="H88" s="212" t="str">
        <f>HYPERLINK("http://bsdd.buildingsmart.org/#concept/details/3KXVItW9L4tQmKl_a8aQuq","3KXVItW9L4tQmKl_a8aQuq")</f>
        <v>3KXVItW9L4tQmKl_a8aQuq</v>
      </c>
      <c r="I88" s="119" t="s">
        <v>2601</v>
      </c>
      <c r="J88" s="209" t="s">
        <v>2781</v>
      </c>
      <c r="K88" s="206" t="s">
        <v>2601</v>
      </c>
      <c r="L88" s="248" t="s">
        <v>2784</v>
      </c>
      <c r="M88" s="210"/>
      <c r="N88" s="192" t="s">
        <v>1504</v>
      </c>
      <c r="O88" s="192" t="s">
        <v>1505</v>
      </c>
      <c r="P88" s="206" t="s">
        <v>1506</v>
      </c>
      <c r="Q88" s="199" t="s">
        <v>2556</v>
      </c>
      <c r="R88" s="211"/>
      <c r="S88" s="207"/>
      <c r="T88" s="192"/>
      <c r="U88" s="200"/>
      <c r="V88" s="200"/>
      <c r="W88" s="201"/>
      <c r="X88" s="201"/>
      <c r="Y88" s="201"/>
      <c r="Z88" s="202" t="str">
        <f t="shared" si="0"/>
        <v>RLOM Roofs</v>
      </c>
      <c r="AA88" s="172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</row>
    <row r="89" spans="1:40" ht="21.75" customHeight="1">
      <c r="A89" s="190">
        <v>2</v>
      </c>
      <c r="B89" s="190" t="s">
        <v>398</v>
      </c>
      <c r="C89" s="190">
        <v>26</v>
      </c>
      <c r="D89" s="191" t="s">
        <v>2542</v>
      </c>
      <c r="E89" s="192">
        <v>263</v>
      </c>
      <c r="F89" s="192" t="s">
        <v>2599</v>
      </c>
      <c r="G89" s="193" t="s">
        <v>2600</v>
      </c>
      <c r="H89" s="212" t="str">
        <f>HYPERLINK("http://bsdd.buildingsmart.org/#concept/details/1y1tW0WJmHu000025QrE$V","1y1tW0WJmHu000025QrE$V")</f>
        <v>1y1tW0WJmHu000025QrE$V</v>
      </c>
      <c r="I89" s="119" t="s">
        <v>2607</v>
      </c>
      <c r="J89" s="209" t="s">
        <v>2795</v>
      </c>
      <c r="K89" s="206" t="s">
        <v>2607</v>
      </c>
      <c r="L89" s="248" t="s">
        <v>2798</v>
      </c>
      <c r="M89" s="210"/>
      <c r="N89" s="192" t="s">
        <v>1504</v>
      </c>
      <c r="O89" s="192" t="s">
        <v>1505</v>
      </c>
      <c r="P89" s="206" t="s">
        <v>1506</v>
      </c>
      <c r="Q89" s="199" t="s">
        <v>1690</v>
      </c>
      <c r="R89" s="199" t="s">
        <v>2617</v>
      </c>
      <c r="S89" s="207" t="s">
        <v>2618</v>
      </c>
      <c r="T89" s="192"/>
      <c r="U89" s="200"/>
      <c r="V89" s="200"/>
      <c r="W89" s="201"/>
      <c r="X89" s="201"/>
      <c r="Y89" s="201"/>
      <c r="Z89" s="202" t="str">
        <f t="shared" si="0"/>
        <v>RLOM Windows</v>
      </c>
      <c r="AA89" s="172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</row>
    <row r="90" spans="1:40" ht="45" customHeight="1">
      <c r="A90" s="190">
        <v>2</v>
      </c>
      <c r="B90" s="190" t="s">
        <v>398</v>
      </c>
      <c r="C90" s="190">
        <v>26</v>
      </c>
      <c r="D90" s="191" t="s">
        <v>2542</v>
      </c>
      <c r="E90" s="192">
        <v>263</v>
      </c>
      <c r="F90" s="192" t="s">
        <v>2599</v>
      </c>
      <c r="G90" s="193" t="s">
        <v>2600</v>
      </c>
      <c r="H90" s="212" t="str">
        <f>HYPERLINK("http://bsdd.buildingsmart.org/#concept/details/3_T7f4cxzB_ur2vAtd6pJe","3_T7f4cxzB_ur2vAtd6pJe")</f>
        <v>3_T7f4cxzB_ur2vAtd6pJe</v>
      </c>
      <c r="I90" s="119" t="s">
        <v>2628</v>
      </c>
      <c r="J90" s="209" t="s">
        <v>2820</v>
      </c>
      <c r="K90" s="206" t="s">
        <v>2628</v>
      </c>
      <c r="L90" s="248" t="s">
        <v>2823</v>
      </c>
      <c r="M90" s="210"/>
      <c r="N90" s="192" t="s">
        <v>842</v>
      </c>
      <c r="O90" s="192" t="s">
        <v>844</v>
      </c>
      <c r="P90" s="206" t="s">
        <v>2632</v>
      </c>
      <c r="Q90" s="199" t="s">
        <v>1543</v>
      </c>
      <c r="R90" s="199" t="s">
        <v>2634</v>
      </c>
      <c r="S90" s="207" t="s">
        <v>2635</v>
      </c>
      <c r="T90" s="192"/>
      <c r="U90" s="200"/>
      <c r="V90" s="200"/>
      <c r="W90" s="201"/>
      <c r="X90" s="201"/>
      <c r="Y90" s="201"/>
      <c r="Z90" s="202" t="str">
        <f t="shared" si="0"/>
        <v>RLOM Doors</v>
      </c>
      <c r="AA90" s="172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</row>
    <row r="91" spans="1:40" ht="18" customHeight="1">
      <c r="A91" s="190">
        <v>2</v>
      </c>
      <c r="B91" s="190" t="s">
        <v>398</v>
      </c>
      <c r="C91" s="190">
        <v>26</v>
      </c>
      <c r="D91" s="191" t="s">
        <v>2542</v>
      </c>
      <c r="E91" s="192">
        <v>264</v>
      </c>
      <c r="F91" s="192" t="s">
        <v>2642</v>
      </c>
      <c r="G91" s="193" t="s">
        <v>2643</v>
      </c>
      <c r="H91" s="212" t="str">
        <f>HYPERLINK("http://bsdd.buildingsmart.org/#concept/details/2ia4wPKHr2tfqHyjmgEEgN","2ia4wPKHr2tfqHyjmgEEgN")</f>
        <v>2ia4wPKHr2tfqHyjmgEEgN</v>
      </c>
      <c r="I91" s="119" t="s">
        <v>2642</v>
      </c>
      <c r="J91" s="209" t="s">
        <v>2831</v>
      </c>
      <c r="K91" s="193" t="s">
        <v>2644</v>
      </c>
      <c r="L91" s="248" t="s">
        <v>2835</v>
      </c>
      <c r="M91" s="210"/>
      <c r="N91" s="192" t="s">
        <v>2648</v>
      </c>
      <c r="O91" s="192" t="s">
        <v>2649</v>
      </c>
      <c r="P91" s="206"/>
      <c r="Q91" s="199" t="s">
        <v>2556</v>
      </c>
      <c r="R91" s="207"/>
      <c r="S91" s="207"/>
      <c r="T91" s="199"/>
      <c r="U91" s="200"/>
      <c r="V91" s="200"/>
      <c r="W91" s="201"/>
      <c r="X91" s="201"/>
      <c r="Y91" s="201"/>
      <c r="Z91" s="202" t="str">
        <f t="shared" si="0"/>
        <v>RLOM Roofs</v>
      </c>
      <c r="AA91" s="172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</row>
    <row r="92" spans="1:40" ht="72" customHeight="1">
      <c r="A92" s="190">
        <v>2</v>
      </c>
      <c r="B92" s="190" t="s">
        <v>398</v>
      </c>
      <c r="C92" s="190">
        <v>26</v>
      </c>
      <c r="D92" s="191" t="s">
        <v>2542</v>
      </c>
      <c r="E92" s="192">
        <v>265</v>
      </c>
      <c r="F92" s="192" t="s">
        <v>2652</v>
      </c>
      <c r="G92" s="193" t="s">
        <v>2653</v>
      </c>
      <c r="H92" s="212" t="str">
        <f>HYPERLINK("http://bsdd.buildingsmart.org/#concept/details/2rxH6sXrf58R8wb7sti3Xk","2rxH6sXrf58R8wb7sti3Xk")</f>
        <v>2rxH6sXrf58R8wb7sti3Xk</v>
      </c>
      <c r="I92" s="121" t="s">
        <v>2654</v>
      </c>
      <c r="J92" s="216" t="s">
        <v>2842</v>
      </c>
      <c r="K92" s="193" t="s">
        <v>2655</v>
      </c>
      <c r="L92" s="248" t="s">
        <v>2844</v>
      </c>
      <c r="M92" s="210"/>
      <c r="N92" s="192" t="s">
        <v>1203</v>
      </c>
      <c r="O92" s="192" t="s">
        <v>1204</v>
      </c>
      <c r="P92" s="206" t="s">
        <v>1205</v>
      </c>
      <c r="Q92" s="199" t="s">
        <v>800</v>
      </c>
      <c r="R92" s="207"/>
      <c r="S92" s="207"/>
      <c r="T92" s="199"/>
      <c r="U92" s="200"/>
      <c r="V92" s="200"/>
      <c r="W92" s="201"/>
      <c r="X92" s="201"/>
      <c r="Y92" s="201"/>
      <c r="Z92" s="202" t="str">
        <f t="shared" si="0"/>
        <v>RLOM Walls</v>
      </c>
      <c r="AA92" s="172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</row>
    <row r="93" spans="1:40" ht="27" customHeight="1">
      <c r="A93" s="190">
        <v>2</v>
      </c>
      <c r="B93" s="190" t="s">
        <v>398</v>
      </c>
      <c r="C93" s="190">
        <v>26</v>
      </c>
      <c r="D93" s="191" t="s">
        <v>2542</v>
      </c>
      <c r="E93" s="192">
        <v>265</v>
      </c>
      <c r="F93" s="192" t="s">
        <v>2652</v>
      </c>
      <c r="G93" s="193" t="s">
        <v>2653</v>
      </c>
      <c r="H93" s="212" t="str">
        <f>HYPERLINK("http://bsdd.buildingsmart.org/#concept/details/1Bn5py9Rj86QeJu3k8klY6","1Bn5py9Rj86QeJu3k8klY6")</f>
        <v>1Bn5py9Rj86QeJu3k8klY6</v>
      </c>
      <c r="I93" s="119" t="s">
        <v>1646</v>
      </c>
      <c r="J93" s="209" t="s">
        <v>2855</v>
      </c>
      <c r="K93" s="206" t="s">
        <v>1646</v>
      </c>
      <c r="L93" s="248" t="s">
        <v>2856</v>
      </c>
      <c r="M93" s="210"/>
      <c r="N93" s="192" t="s">
        <v>2661</v>
      </c>
      <c r="O93" s="192" t="s">
        <v>2662</v>
      </c>
      <c r="P93" s="206" t="s">
        <v>2663</v>
      </c>
      <c r="Q93" s="192" t="s">
        <v>809</v>
      </c>
      <c r="R93" s="207"/>
      <c r="S93" s="207"/>
      <c r="T93" s="199"/>
      <c r="U93" s="200"/>
      <c r="V93" s="200"/>
      <c r="W93" s="201"/>
      <c r="X93" s="201"/>
      <c r="Y93" s="201"/>
      <c r="Z93" s="202" t="str">
        <f t="shared" si="0"/>
        <v>RLOM PipeSegments</v>
      </c>
      <c r="AA93" s="172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</row>
    <row r="94" spans="1:40" ht="27" customHeight="1">
      <c r="A94" s="190">
        <v>2</v>
      </c>
      <c r="B94" s="190" t="s">
        <v>398</v>
      </c>
      <c r="C94" s="190">
        <v>26</v>
      </c>
      <c r="D94" s="191" t="s">
        <v>2542</v>
      </c>
      <c r="E94" s="192">
        <v>265</v>
      </c>
      <c r="F94" s="192" t="s">
        <v>2652</v>
      </c>
      <c r="G94" s="193" t="s">
        <v>2653</v>
      </c>
      <c r="H94" s="212" t="str">
        <f>HYPERLINK("http://bsdd.buildingsmart.org/#concept/details/0G1Nu0VSmHtm00025QrE$V","0G1Nu0VSmHtm00025QrE$V")</f>
        <v>0G1Nu0VSmHtm00025QrE$V</v>
      </c>
      <c r="I94" s="119" t="s">
        <v>2665</v>
      </c>
      <c r="J94" s="209" t="s">
        <v>2869</v>
      </c>
      <c r="K94" s="206" t="s">
        <v>2665</v>
      </c>
      <c r="L94" s="248" t="s">
        <v>2870</v>
      </c>
      <c r="M94" s="210"/>
      <c r="N94" s="192" t="s">
        <v>2661</v>
      </c>
      <c r="O94" s="192" t="s">
        <v>2662</v>
      </c>
      <c r="P94" s="206" t="s">
        <v>2663</v>
      </c>
      <c r="Q94" s="192" t="s">
        <v>809</v>
      </c>
      <c r="R94" s="207" t="s">
        <v>810</v>
      </c>
      <c r="S94" s="207" t="s">
        <v>2668</v>
      </c>
      <c r="T94" s="199"/>
      <c r="U94" s="200"/>
      <c r="V94" s="200"/>
      <c r="W94" s="201"/>
      <c r="X94" s="201"/>
      <c r="Y94" s="201"/>
      <c r="Z94" s="202" t="str">
        <f t="shared" si="0"/>
        <v>RLOM PipeSegments</v>
      </c>
      <c r="AA94" s="172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</row>
    <row r="95" spans="1:40" ht="24" customHeight="1">
      <c r="A95" s="190">
        <v>2</v>
      </c>
      <c r="B95" s="190" t="s">
        <v>398</v>
      </c>
      <c r="C95" s="190">
        <v>26</v>
      </c>
      <c r="D95" s="191" t="s">
        <v>2542</v>
      </c>
      <c r="E95" s="192">
        <v>266</v>
      </c>
      <c r="F95" s="192" t="s">
        <v>2672</v>
      </c>
      <c r="G95" s="193"/>
      <c r="H95" s="212" t="str">
        <f>HYPERLINK("http://bsdd.buildingsmart.org/#concept/details/2RnPDEHq50swQVkiJ794Nk","2RnPDEHq50swQVkiJ794Nk")</f>
        <v>2RnPDEHq50swQVkiJ794Nk</v>
      </c>
      <c r="I95" s="119" t="s">
        <v>4888</v>
      </c>
      <c r="J95" s="209" t="s">
        <v>2877</v>
      </c>
      <c r="K95" s="206" t="s">
        <v>2675</v>
      </c>
      <c r="L95" s="248" t="s">
        <v>2888</v>
      </c>
      <c r="M95" s="210"/>
      <c r="N95" s="192" t="s">
        <v>2396</v>
      </c>
      <c r="O95" s="192" t="s">
        <v>2397</v>
      </c>
      <c r="P95" s="206" t="s">
        <v>2398</v>
      </c>
      <c r="Q95" s="199" t="s">
        <v>1034</v>
      </c>
      <c r="R95" s="199" t="s">
        <v>1035</v>
      </c>
      <c r="S95" s="199" t="s">
        <v>2400</v>
      </c>
      <c r="T95" s="199" t="s">
        <v>2679</v>
      </c>
      <c r="U95" s="200"/>
      <c r="V95" s="200"/>
      <c r="W95" s="201"/>
      <c r="X95" s="201"/>
      <c r="Y95" s="201"/>
      <c r="Z95" s="202" t="str">
        <f t="shared" si="0"/>
        <v>RLOM Coverings</v>
      </c>
      <c r="AA95" s="172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</row>
    <row r="96" spans="1:40" ht="21.75" customHeight="1">
      <c r="A96" s="190">
        <v>2</v>
      </c>
      <c r="B96" s="190" t="s">
        <v>398</v>
      </c>
      <c r="C96" s="190">
        <v>26</v>
      </c>
      <c r="D96" s="191" t="s">
        <v>2542</v>
      </c>
      <c r="E96" s="192">
        <v>267</v>
      </c>
      <c r="F96" s="192" t="s">
        <v>2681</v>
      </c>
      <c r="G96" s="193" t="s">
        <v>2682</v>
      </c>
      <c r="H96" s="212" t="str">
        <f>HYPERLINK("http://bsdd.buildingsmart.org/#concept/details/1F62_ImpX1j8Xjz71CoAof","1F62_ImpX1j8Xjz71CoAof")</f>
        <v>1F62_ImpX1j8Xjz71CoAof</v>
      </c>
      <c r="I96" s="119" t="s">
        <v>4889</v>
      </c>
      <c r="J96" s="209" t="s">
        <v>2904</v>
      </c>
      <c r="K96" s="206" t="s">
        <v>2683</v>
      </c>
      <c r="L96" s="248" t="s">
        <v>2905</v>
      </c>
      <c r="M96" s="210"/>
      <c r="N96" s="192" t="s">
        <v>2178</v>
      </c>
      <c r="O96" s="192" t="s">
        <v>2182</v>
      </c>
      <c r="P96" s="206" t="s">
        <v>2183</v>
      </c>
      <c r="Q96" s="199" t="s">
        <v>2556</v>
      </c>
      <c r="R96" s="207"/>
      <c r="S96" s="207"/>
      <c r="T96" s="199"/>
      <c r="U96" s="200"/>
      <c r="V96" s="200"/>
      <c r="W96" s="201"/>
      <c r="X96" s="201"/>
      <c r="Y96" s="201"/>
      <c r="Z96" s="202" t="str">
        <f t="shared" si="0"/>
        <v>RLOM Roofs</v>
      </c>
      <c r="AA96" s="172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</row>
    <row r="97" spans="1:40" ht="21.75" customHeight="1">
      <c r="A97" s="190">
        <v>2</v>
      </c>
      <c r="B97" s="190" t="s">
        <v>398</v>
      </c>
      <c r="C97" s="190">
        <v>26</v>
      </c>
      <c r="D97" s="191" t="s">
        <v>2542</v>
      </c>
      <c r="E97" s="192">
        <v>268</v>
      </c>
      <c r="F97" s="192" t="s">
        <v>1021</v>
      </c>
      <c r="G97" s="193" t="s">
        <v>2694</v>
      </c>
      <c r="H97" s="212" t="str">
        <f>HYPERLINK("http://bsdd.buildingsmart.org/#concept/details/1uS$40WJmHu000025QrE$V","1uS$40WJmHu000025QrE$V")</f>
        <v>1uS$40WJmHu000025QrE$V</v>
      </c>
      <c r="I97" s="119" t="s">
        <v>2698</v>
      </c>
      <c r="J97" s="209" t="s">
        <v>2915</v>
      </c>
      <c r="K97" s="193" t="s">
        <v>2917</v>
      </c>
      <c r="L97" s="248" t="s">
        <v>2915</v>
      </c>
      <c r="M97" s="210"/>
      <c r="N97" s="192" t="s">
        <v>1387</v>
      </c>
      <c r="O97" s="192" t="s">
        <v>865</v>
      </c>
      <c r="P97" s="206" t="s">
        <v>1392</v>
      </c>
      <c r="Q97" s="199" t="s">
        <v>800</v>
      </c>
      <c r="R97" s="199" t="s">
        <v>802</v>
      </c>
      <c r="S97" s="207" t="s">
        <v>2713</v>
      </c>
      <c r="T97" s="199"/>
      <c r="U97" s="200"/>
      <c r="V97" s="200"/>
      <c r="W97" s="201"/>
      <c r="X97" s="201"/>
      <c r="Y97" s="201"/>
      <c r="Z97" s="202" t="str">
        <f t="shared" si="0"/>
        <v>RLOM Walls</v>
      </c>
      <c r="AA97" s="172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</row>
    <row r="98" spans="1:40" ht="36" customHeight="1">
      <c r="A98" s="190">
        <v>2</v>
      </c>
      <c r="B98" s="190" t="s">
        <v>398</v>
      </c>
      <c r="C98" s="190">
        <v>26</v>
      </c>
      <c r="D98" s="191" t="s">
        <v>2542</v>
      </c>
      <c r="E98" s="192">
        <v>268</v>
      </c>
      <c r="F98" s="192" t="s">
        <v>1021</v>
      </c>
      <c r="G98" s="193" t="s">
        <v>2694</v>
      </c>
      <c r="H98" s="212" t="str">
        <f>HYPERLINK("http://bsdd.buildingsmart.org/#concept/details/1hs5sBohnAq9SCFCrKsO3f","1hs5sBohnAq9SCFCrKsO3f")</f>
        <v>1hs5sBohnAq9SCFCrKsO3f</v>
      </c>
      <c r="I98" s="119" t="s">
        <v>2719</v>
      </c>
      <c r="J98" s="209" t="s">
        <v>2932</v>
      </c>
      <c r="K98" s="206" t="s">
        <v>2720</v>
      </c>
      <c r="L98" s="248" t="s">
        <v>2935</v>
      </c>
      <c r="M98" s="210"/>
      <c r="N98" s="192" t="s">
        <v>2094</v>
      </c>
      <c r="O98" s="192" t="s">
        <v>2095</v>
      </c>
      <c r="P98" s="206" t="s">
        <v>2096</v>
      </c>
      <c r="Q98" s="199" t="s">
        <v>1034</v>
      </c>
      <c r="R98" s="207"/>
      <c r="S98" s="207"/>
      <c r="T98" s="199"/>
      <c r="U98" s="200"/>
      <c r="V98" s="200"/>
      <c r="W98" s="201"/>
      <c r="X98" s="201"/>
      <c r="Y98" s="201"/>
      <c r="Z98" s="202" t="str">
        <f t="shared" si="0"/>
        <v>RLOM Coverings</v>
      </c>
      <c r="AA98" s="172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</row>
    <row r="99" spans="1:40" ht="21.75" customHeight="1">
      <c r="A99" s="190">
        <v>2</v>
      </c>
      <c r="B99" s="190" t="s">
        <v>398</v>
      </c>
      <c r="C99" s="190">
        <v>27</v>
      </c>
      <c r="D99" s="191" t="s">
        <v>2723</v>
      </c>
      <c r="E99" s="192">
        <v>271</v>
      </c>
      <c r="F99" s="192" t="s">
        <v>2725</v>
      </c>
      <c r="G99" s="193" t="s">
        <v>2726</v>
      </c>
      <c r="H99" s="212" t="str">
        <f>HYPERLINK("http://bsdd.buildingsmart.org/#concept/details/0cNoBW_tX4QwcRtQdE32Cr","0cNoBW_tX4QwcRtQdE32Cr")</f>
        <v>0cNoBW_tX4QwcRtQdE32Cr</v>
      </c>
      <c r="I99" s="119" t="s">
        <v>4890</v>
      </c>
      <c r="J99" s="209" t="s">
        <v>2949</v>
      </c>
      <c r="K99" s="206" t="s">
        <v>2728</v>
      </c>
      <c r="L99" s="248" t="s">
        <v>2952</v>
      </c>
      <c r="M99" s="210"/>
      <c r="N99" s="192" t="s">
        <v>2730</v>
      </c>
      <c r="O99" s="192" t="s">
        <v>2731</v>
      </c>
      <c r="P99" s="206" t="s">
        <v>2743</v>
      </c>
      <c r="Q99" s="192" t="s">
        <v>2744</v>
      </c>
      <c r="R99" s="207"/>
      <c r="S99" s="207"/>
      <c r="T99" s="199"/>
      <c r="U99" s="201"/>
      <c r="V99" s="200"/>
      <c r="W99" s="201"/>
      <c r="X99" s="201"/>
      <c r="Y99" s="201"/>
      <c r="Z99" s="202" t="str">
        <f t="shared" si="0"/>
        <v>RLOM Chimneys</v>
      </c>
      <c r="AA99" s="172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</row>
    <row r="100" spans="1:40" ht="24" customHeight="1">
      <c r="A100" s="190">
        <v>2</v>
      </c>
      <c r="B100" s="190" t="s">
        <v>398</v>
      </c>
      <c r="C100" s="190">
        <v>27</v>
      </c>
      <c r="D100" s="191" t="s">
        <v>2723</v>
      </c>
      <c r="E100" s="192">
        <v>272</v>
      </c>
      <c r="F100" s="192" t="s">
        <v>2749</v>
      </c>
      <c r="G100" s="193" t="s">
        <v>2750</v>
      </c>
      <c r="H100" s="212" t="str">
        <f>HYPERLINK("http://bsdd.buildingsmart.org/#concept/details/3BJxV2EdfBgwJiD5j4XEgk","3BJxV2EdfBgwJiD5j4XEgk")</f>
        <v>3BJxV2EdfBgwJiD5j4XEgk</v>
      </c>
      <c r="I100" s="119" t="s">
        <v>4891</v>
      </c>
      <c r="J100" s="209" t="s">
        <v>2971</v>
      </c>
      <c r="K100" s="206" t="s">
        <v>2752</v>
      </c>
      <c r="L100" s="248" t="s">
        <v>2972</v>
      </c>
      <c r="M100" s="210"/>
      <c r="N100" s="192" t="s">
        <v>2730</v>
      </c>
      <c r="O100" s="192" t="s">
        <v>2731</v>
      </c>
      <c r="P100" s="206" t="s">
        <v>2743</v>
      </c>
      <c r="Q100" s="192" t="s">
        <v>2744</v>
      </c>
      <c r="R100" s="207"/>
      <c r="S100" s="207"/>
      <c r="T100" s="199"/>
      <c r="U100" s="201"/>
      <c r="V100" s="200"/>
      <c r="W100" s="201"/>
      <c r="X100" s="201"/>
      <c r="Y100" s="201"/>
      <c r="Z100" s="202" t="str">
        <f t="shared" si="0"/>
        <v>RLOM Chimneys</v>
      </c>
      <c r="AA100" s="172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</row>
    <row r="101" spans="1:40" ht="27" customHeight="1">
      <c r="A101" s="190">
        <v>2</v>
      </c>
      <c r="B101" s="190" t="s">
        <v>398</v>
      </c>
      <c r="C101" s="190">
        <v>27</v>
      </c>
      <c r="D101" s="191" t="s">
        <v>2723</v>
      </c>
      <c r="E101" s="192">
        <v>273</v>
      </c>
      <c r="F101" s="192" t="s">
        <v>2761</v>
      </c>
      <c r="G101" s="193" t="s">
        <v>2762</v>
      </c>
      <c r="H101" s="212" t="str">
        <f>HYPERLINK("http://bsdd.buildingsmart.org/#concept/details/2lufsAWJmHu000025QrE$V","2lufsAWJmHu000025QrE$V")</f>
        <v>2lufsAWJmHu000025QrE$V</v>
      </c>
      <c r="I101" s="119" t="s">
        <v>2764</v>
      </c>
      <c r="J101" s="209" t="s">
        <v>2982</v>
      </c>
      <c r="K101" s="206"/>
      <c r="L101" s="248" t="s">
        <v>2984</v>
      </c>
      <c r="M101" s="210"/>
      <c r="N101" s="192" t="s">
        <v>2767</v>
      </c>
      <c r="O101" s="192" t="s">
        <v>2768</v>
      </c>
      <c r="P101" s="206" t="s">
        <v>2769</v>
      </c>
      <c r="Q101" s="192" t="s">
        <v>2770</v>
      </c>
      <c r="R101" s="192" t="s">
        <v>2771</v>
      </c>
      <c r="S101" s="207" t="s">
        <v>2772</v>
      </c>
      <c r="T101" s="203"/>
      <c r="U101" s="201"/>
      <c r="V101" s="200"/>
      <c r="W101" s="201"/>
      <c r="X101" s="201"/>
      <c r="Y101" s="201"/>
      <c r="Z101" s="202" t="str">
        <f t="shared" si="0"/>
        <v>RLOM ElectricAppliances</v>
      </c>
      <c r="AA101" s="172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</row>
    <row r="102" spans="1:40" ht="27" customHeight="1">
      <c r="A102" s="190">
        <v>2</v>
      </c>
      <c r="B102" s="190" t="s">
        <v>398</v>
      </c>
      <c r="C102" s="190">
        <v>27</v>
      </c>
      <c r="D102" s="191" t="s">
        <v>2723</v>
      </c>
      <c r="E102" s="192">
        <v>273</v>
      </c>
      <c r="F102" s="192" t="s">
        <v>2761</v>
      </c>
      <c r="G102" s="193" t="s">
        <v>2762</v>
      </c>
      <c r="H102" s="212" t="str">
        <f>HYPERLINK("http://bsdd.buildingsmart.org/#concept/details/204Zw8d4b7chHVNZcFDc2D","204Zw8d4b7chHVNZcFDc2D")</f>
        <v>204Zw8d4b7chHVNZcFDc2D</v>
      </c>
      <c r="I102" s="119" t="s">
        <v>4892</v>
      </c>
      <c r="J102" s="209" t="s">
        <v>2988</v>
      </c>
      <c r="K102" s="206" t="s">
        <v>2776</v>
      </c>
      <c r="L102" s="248" t="s">
        <v>2991</v>
      </c>
      <c r="M102" s="210"/>
      <c r="N102" s="192" t="s">
        <v>2778</v>
      </c>
      <c r="O102" s="192" t="s">
        <v>2779</v>
      </c>
      <c r="P102" s="206" t="s">
        <v>2780</v>
      </c>
      <c r="Q102" s="192" t="s">
        <v>2783</v>
      </c>
      <c r="R102" s="207"/>
      <c r="S102" s="207"/>
      <c r="T102" s="199"/>
      <c r="U102" s="201"/>
      <c r="V102" s="200"/>
      <c r="W102" s="201"/>
      <c r="X102" s="201"/>
      <c r="Y102" s="201"/>
      <c r="Z102" s="202" t="str">
        <f t="shared" si="0"/>
        <v>RLOM Furnitures</v>
      </c>
      <c r="AA102" s="172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</row>
    <row r="103" spans="1:40" ht="27" customHeight="1">
      <c r="A103" s="190">
        <v>2</v>
      </c>
      <c r="B103" s="190" t="s">
        <v>398</v>
      </c>
      <c r="C103" s="190">
        <v>27</v>
      </c>
      <c r="D103" s="191" t="s">
        <v>2723</v>
      </c>
      <c r="E103" s="192">
        <v>273</v>
      </c>
      <c r="F103" s="192" t="s">
        <v>2761</v>
      </c>
      <c r="G103" s="193" t="s">
        <v>2762</v>
      </c>
      <c r="H103" s="212" t="str">
        <f>HYPERLINK("http://bsdd.buildingsmart.org/#concept/details/2lIWS0WJmHu000025QrE$V","2lIWS0WJmHu000025QrE$V")</f>
        <v>2lIWS0WJmHu000025QrE$V</v>
      </c>
      <c r="I103" s="119" t="s">
        <v>2785</v>
      </c>
      <c r="J103" s="209" t="s">
        <v>3007</v>
      </c>
      <c r="K103" s="206"/>
      <c r="L103" s="248" t="s">
        <v>3008</v>
      </c>
      <c r="M103" s="210"/>
      <c r="N103" s="192" t="s">
        <v>2787</v>
      </c>
      <c r="O103" s="192" t="s">
        <v>2788</v>
      </c>
      <c r="P103" s="206" t="s">
        <v>2788</v>
      </c>
      <c r="Q103" s="192" t="s">
        <v>2770</v>
      </c>
      <c r="R103" s="192" t="s">
        <v>2771</v>
      </c>
      <c r="S103" s="207" t="s">
        <v>2789</v>
      </c>
      <c r="T103" s="199"/>
      <c r="U103" s="220"/>
      <c r="V103" s="200"/>
      <c r="W103" s="201"/>
      <c r="X103" s="201"/>
      <c r="Y103" s="201"/>
      <c r="Z103" s="202" t="str">
        <f t="shared" si="0"/>
        <v>RLOM ElectricAppliances</v>
      </c>
      <c r="AA103" s="172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</row>
    <row r="104" spans="1:40" ht="27" customHeight="1">
      <c r="A104" s="190">
        <v>2</v>
      </c>
      <c r="B104" s="190" t="s">
        <v>398</v>
      </c>
      <c r="C104" s="190">
        <v>27</v>
      </c>
      <c r="D104" s="191" t="s">
        <v>2723</v>
      </c>
      <c r="E104" s="192">
        <v>273</v>
      </c>
      <c r="F104" s="192" t="s">
        <v>2761</v>
      </c>
      <c r="G104" s="193" t="s">
        <v>2762</v>
      </c>
      <c r="H104" s="212" t="str">
        <f>HYPERLINK("http://bsdd.buildingsmart.org/#concept/details/1wss_JRyD6exbCClZyIwgd","1wss_JRyD6exbCClZyIwgd")</f>
        <v>1wss_JRyD6exbCClZyIwgd</v>
      </c>
      <c r="I104" s="119" t="s">
        <v>2796</v>
      </c>
      <c r="J104" s="209" t="s">
        <v>3021</v>
      </c>
      <c r="K104" s="206"/>
      <c r="L104" s="248" t="s">
        <v>3029</v>
      </c>
      <c r="M104" s="210"/>
      <c r="N104" s="192" t="s">
        <v>2800</v>
      </c>
      <c r="O104" s="192" t="s">
        <v>2801</v>
      </c>
      <c r="P104" s="206" t="s">
        <v>2802</v>
      </c>
      <c r="Q104" s="192" t="s">
        <v>2770</v>
      </c>
      <c r="R104" s="192" t="s">
        <v>2771</v>
      </c>
      <c r="S104" s="207" t="s">
        <v>2811</v>
      </c>
      <c r="T104" s="207" t="s">
        <v>2812</v>
      </c>
      <c r="U104" s="220"/>
      <c r="V104" s="200"/>
      <c r="W104" s="201"/>
      <c r="X104" s="201"/>
      <c r="Y104" s="201"/>
      <c r="Z104" s="202" t="str">
        <f t="shared" si="0"/>
        <v>RLOM ElectricAppliances</v>
      </c>
      <c r="AA104" s="172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</row>
    <row r="105" spans="1:40" ht="27" customHeight="1">
      <c r="A105" s="190">
        <v>2</v>
      </c>
      <c r="B105" s="190" t="s">
        <v>398</v>
      </c>
      <c r="C105" s="190">
        <v>27</v>
      </c>
      <c r="D105" s="191" t="s">
        <v>2723</v>
      </c>
      <c r="E105" s="192">
        <v>273</v>
      </c>
      <c r="F105" s="192" t="s">
        <v>2761</v>
      </c>
      <c r="G105" s="193" t="s">
        <v>2762</v>
      </c>
      <c r="H105" s="212" t="str">
        <f>HYPERLINK("http://bsdd.buildingsmart.org/#concept/details/3vHOZ0oT0Hsm00051Mm008","3vHOZ0oT0Hsm00051Mm008")</f>
        <v>3vHOZ0oT0Hsm00051Mm008</v>
      </c>
      <c r="I105" s="119" t="s">
        <v>2813</v>
      </c>
      <c r="J105" s="209" t="s">
        <v>3049</v>
      </c>
      <c r="K105" s="206"/>
      <c r="L105" s="248" t="s">
        <v>3051</v>
      </c>
      <c r="M105" s="210"/>
      <c r="N105" s="192" t="s">
        <v>2816</v>
      </c>
      <c r="O105" s="192" t="s">
        <v>2818</v>
      </c>
      <c r="P105" s="206" t="s">
        <v>2819</v>
      </c>
      <c r="Q105" s="192" t="s">
        <v>2770</v>
      </c>
      <c r="R105" s="192" t="s">
        <v>2771</v>
      </c>
      <c r="S105" s="207" t="s">
        <v>2821</v>
      </c>
      <c r="T105" s="207" t="s">
        <v>2822</v>
      </c>
      <c r="U105" s="220"/>
      <c r="V105" s="200"/>
      <c r="W105" s="201"/>
      <c r="X105" s="201"/>
      <c r="Y105" s="201"/>
      <c r="Z105" s="202" t="str">
        <f t="shared" si="0"/>
        <v>RLOM ElectricAppliances</v>
      </c>
      <c r="AA105" s="172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</row>
    <row r="106" spans="1:40" ht="33" customHeight="1">
      <c r="A106" s="190">
        <v>2</v>
      </c>
      <c r="B106" s="190" t="s">
        <v>398</v>
      </c>
      <c r="C106" s="190">
        <v>27</v>
      </c>
      <c r="D106" s="191" t="s">
        <v>2723</v>
      </c>
      <c r="E106" s="192">
        <v>274</v>
      </c>
      <c r="F106" s="192" t="s">
        <v>2824</v>
      </c>
      <c r="G106" s="193" t="s">
        <v>2825</v>
      </c>
      <c r="H106" s="212" t="str">
        <f t="shared" ref="H106:H107" si="4">HYPERLINK("http://bsdd.buildingsmart.org/#concept/details/3vHImYoT0Hsm00051Mm008","3vHImYoT0Hsm00051Mm008")</f>
        <v>3vHImYoT0Hsm00051Mm008</v>
      </c>
      <c r="I106" s="119" t="s">
        <v>4893</v>
      </c>
      <c r="J106" s="209" t="s">
        <v>3065</v>
      </c>
      <c r="K106" s="206" t="s">
        <v>3066</v>
      </c>
      <c r="L106" s="248" t="s">
        <v>3067</v>
      </c>
      <c r="M106" s="192" t="s">
        <v>3069</v>
      </c>
      <c r="N106" s="199" t="s">
        <v>1678</v>
      </c>
      <c r="O106" s="203" t="s">
        <v>1679</v>
      </c>
      <c r="P106" s="206"/>
      <c r="Q106" s="192" t="s">
        <v>1680</v>
      </c>
      <c r="R106" s="192" t="s">
        <v>1681</v>
      </c>
      <c r="S106" s="207" t="s">
        <v>1682</v>
      </c>
      <c r="T106" s="207" t="s">
        <v>1683</v>
      </c>
      <c r="U106" s="200"/>
      <c r="V106" s="200"/>
      <c r="W106" s="201"/>
      <c r="X106" s="201"/>
      <c r="Y106" s="201"/>
      <c r="Z106" s="202" t="str">
        <f t="shared" si="0"/>
        <v>RLOM SanitaryTerminals</v>
      </c>
      <c r="AA106" s="172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</row>
    <row r="107" spans="1:40" ht="21.75" customHeight="1">
      <c r="A107" s="190">
        <v>2</v>
      </c>
      <c r="B107" s="190" t="s">
        <v>398</v>
      </c>
      <c r="C107" s="190">
        <v>27</v>
      </c>
      <c r="D107" s="191" t="s">
        <v>2723</v>
      </c>
      <c r="E107" s="192">
        <v>274</v>
      </c>
      <c r="F107" s="192" t="s">
        <v>2824</v>
      </c>
      <c r="G107" s="193" t="s">
        <v>2825</v>
      </c>
      <c r="H107" s="212" t="str">
        <f t="shared" si="4"/>
        <v>3vHImYoT0Hsm00051Mm008</v>
      </c>
      <c r="I107" s="119" t="s">
        <v>1666</v>
      </c>
      <c r="J107" s="209" t="s">
        <v>3092</v>
      </c>
      <c r="K107" s="206" t="s">
        <v>1666</v>
      </c>
      <c r="L107" s="248" t="s">
        <v>3095</v>
      </c>
      <c r="M107" s="210"/>
      <c r="N107" s="199" t="s">
        <v>1678</v>
      </c>
      <c r="O107" s="203" t="s">
        <v>1679</v>
      </c>
      <c r="P107" s="206"/>
      <c r="Q107" s="192" t="s">
        <v>1680</v>
      </c>
      <c r="R107" s="192" t="s">
        <v>1681</v>
      </c>
      <c r="S107" s="207" t="s">
        <v>1682</v>
      </c>
      <c r="T107" s="207" t="s">
        <v>1683</v>
      </c>
      <c r="U107" s="200"/>
      <c r="V107" s="200"/>
      <c r="W107" s="201"/>
      <c r="X107" s="201"/>
      <c r="Y107" s="201"/>
      <c r="Z107" s="202" t="str">
        <f t="shared" si="0"/>
        <v>RLOM SanitaryTerminals</v>
      </c>
      <c r="AA107" s="172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</row>
    <row r="108" spans="1:40" ht="27" customHeight="1">
      <c r="A108" s="190">
        <v>2</v>
      </c>
      <c r="B108" s="190" t="s">
        <v>398</v>
      </c>
      <c r="C108" s="190">
        <v>27</v>
      </c>
      <c r="D108" s="191" t="s">
        <v>2723</v>
      </c>
      <c r="E108" s="192">
        <v>274</v>
      </c>
      <c r="F108" s="192" t="s">
        <v>2824</v>
      </c>
      <c r="G108" s="193" t="s">
        <v>2825</v>
      </c>
      <c r="H108" s="212" t="str">
        <f>HYPERLINK("http://bsdd.buildingsmart.org/#concept/details/3u5hyc4z1AnPhLrBZdbSAI","3u5hyc4z1AnPhLrBZdbSAI")</f>
        <v>3u5hyc4z1AnPhLrBZdbSAI</v>
      </c>
      <c r="I108" s="119" t="s">
        <v>2832</v>
      </c>
      <c r="J108" s="209" t="s">
        <v>3109</v>
      </c>
      <c r="K108" s="206" t="s">
        <v>2834</v>
      </c>
      <c r="L108" s="248" t="s">
        <v>3112</v>
      </c>
      <c r="M108" s="210"/>
      <c r="N108" s="192" t="s">
        <v>2778</v>
      </c>
      <c r="O108" s="192" t="s">
        <v>2779</v>
      </c>
      <c r="P108" s="206" t="s">
        <v>2780</v>
      </c>
      <c r="Q108" s="192" t="s">
        <v>2783</v>
      </c>
      <c r="R108" s="207"/>
      <c r="S108" s="207"/>
      <c r="T108" s="199"/>
      <c r="U108" s="201"/>
      <c r="V108" s="200"/>
      <c r="W108" s="201"/>
      <c r="X108" s="201"/>
      <c r="Y108" s="201"/>
      <c r="Z108" s="202" t="str">
        <f t="shared" si="0"/>
        <v>RLOM Furnitures</v>
      </c>
      <c r="AA108" s="172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</row>
    <row r="109" spans="1:40" ht="21.75" customHeight="1">
      <c r="A109" s="190">
        <v>2</v>
      </c>
      <c r="B109" s="190" t="s">
        <v>398</v>
      </c>
      <c r="C109" s="190">
        <v>27</v>
      </c>
      <c r="D109" s="191" t="s">
        <v>2723</v>
      </c>
      <c r="E109" s="192">
        <v>274</v>
      </c>
      <c r="F109" s="192" t="s">
        <v>2824</v>
      </c>
      <c r="G109" s="193" t="s">
        <v>2825</v>
      </c>
      <c r="H109" s="212" t="str">
        <f>HYPERLINK("http://bsdd.buildingsmart.org/#concept/details/33N$I017CHtm00025QrE$V","33N$I017CHtm00025QrE$V")</f>
        <v>33N$I017CHtm00025QrE$V</v>
      </c>
      <c r="I109" s="119" t="s">
        <v>2838</v>
      </c>
      <c r="J109" s="209" t="s">
        <v>3122</v>
      </c>
      <c r="K109" s="206" t="s">
        <v>2838</v>
      </c>
      <c r="L109" s="248" t="s">
        <v>3124</v>
      </c>
      <c r="M109" s="210"/>
      <c r="N109" s="192" t="s">
        <v>1845</v>
      </c>
      <c r="O109" s="192" t="s">
        <v>1339</v>
      </c>
      <c r="P109" s="206" t="s">
        <v>2840</v>
      </c>
      <c r="Q109" s="192" t="s">
        <v>1680</v>
      </c>
      <c r="R109" s="192" t="s">
        <v>1681</v>
      </c>
      <c r="S109" s="192" t="s">
        <v>1848</v>
      </c>
      <c r="T109" s="207" t="s">
        <v>1910</v>
      </c>
      <c r="U109" s="201"/>
      <c r="V109" s="200"/>
      <c r="W109" s="201"/>
      <c r="X109" s="201"/>
      <c r="Y109" s="201"/>
      <c r="Z109" s="202" t="str">
        <f t="shared" si="0"/>
        <v>RLOM SanitaryTerminals</v>
      </c>
      <c r="AA109" s="172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</row>
    <row r="110" spans="1:40" ht="33" customHeight="1">
      <c r="A110" s="190">
        <v>2</v>
      </c>
      <c r="B110" s="190" t="s">
        <v>398</v>
      </c>
      <c r="C110" s="190">
        <v>27</v>
      </c>
      <c r="D110" s="191" t="s">
        <v>2723</v>
      </c>
      <c r="E110" s="192">
        <v>274</v>
      </c>
      <c r="F110" s="192" t="s">
        <v>2824</v>
      </c>
      <c r="G110" s="193" t="s">
        <v>2825</v>
      </c>
      <c r="H110" s="212" t="str">
        <f t="shared" ref="H110:H111" si="5">HYPERLINK("http://bsdd.buildingsmart.org/#concept/details/0RD2s03cuHtm00025QrE$V","0RD2s03cuHtm00025QrE$V")</f>
        <v>0RD2s03cuHtm00025QrE$V</v>
      </c>
      <c r="I110" s="119" t="s">
        <v>4894</v>
      </c>
      <c r="J110" s="209" t="s">
        <v>3131</v>
      </c>
      <c r="K110" s="206" t="s">
        <v>3132</v>
      </c>
      <c r="L110" s="248" t="s">
        <v>3133</v>
      </c>
      <c r="M110" s="192" t="s">
        <v>3134</v>
      </c>
      <c r="N110" s="192" t="s">
        <v>1957</v>
      </c>
      <c r="O110" s="192" t="s">
        <v>1958</v>
      </c>
      <c r="P110" s="206" t="s">
        <v>2852</v>
      </c>
      <c r="Q110" s="192" t="s">
        <v>1680</v>
      </c>
      <c r="R110" s="192" t="s">
        <v>1681</v>
      </c>
      <c r="S110" s="207" t="s">
        <v>1975</v>
      </c>
      <c r="T110" s="199"/>
      <c r="U110" s="201"/>
      <c r="V110" s="200"/>
      <c r="W110" s="201"/>
      <c r="X110" s="201"/>
      <c r="Y110" s="201"/>
      <c r="Z110" s="202" t="str">
        <f t="shared" si="0"/>
        <v>RLOM SanitaryTerminals</v>
      </c>
      <c r="AA110" s="172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</row>
    <row r="111" spans="1:40" ht="21.75" customHeight="1">
      <c r="A111" s="190">
        <v>2</v>
      </c>
      <c r="B111" s="190" t="s">
        <v>398</v>
      </c>
      <c r="C111" s="190">
        <v>27</v>
      </c>
      <c r="D111" s="191" t="s">
        <v>2723</v>
      </c>
      <c r="E111" s="192">
        <v>274</v>
      </c>
      <c r="F111" s="192" t="s">
        <v>2824</v>
      </c>
      <c r="G111" s="193" t="s">
        <v>2825</v>
      </c>
      <c r="H111" s="212" t="str">
        <f t="shared" si="5"/>
        <v>0RD2s03cuHtm00025QrE$V</v>
      </c>
      <c r="I111" s="119" t="s">
        <v>1958</v>
      </c>
      <c r="J111" s="209" t="s">
        <v>3136</v>
      </c>
      <c r="K111" s="206" t="s">
        <v>1958</v>
      </c>
      <c r="L111" s="248" t="s">
        <v>3137</v>
      </c>
      <c r="M111" s="210"/>
      <c r="N111" s="192" t="s">
        <v>1957</v>
      </c>
      <c r="O111" s="192" t="s">
        <v>1958</v>
      </c>
      <c r="P111" s="206" t="s">
        <v>2852</v>
      </c>
      <c r="Q111" s="192" t="s">
        <v>1680</v>
      </c>
      <c r="R111" s="192" t="s">
        <v>1681</v>
      </c>
      <c r="S111" s="207" t="s">
        <v>1975</v>
      </c>
      <c r="T111" s="199"/>
      <c r="U111" s="201"/>
      <c r="V111" s="200"/>
      <c r="W111" s="201"/>
      <c r="X111" s="201"/>
      <c r="Y111" s="201"/>
      <c r="Z111" s="202" t="str">
        <f t="shared" si="0"/>
        <v>RLOM SanitaryTerminals</v>
      </c>
      <c r="AA111" s="172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</row>
    <row r="112" spans="1:40" ht="33" customHeight="1">
      <c r="A112" s="190">
        <v>2</v>
      </c>
      <c r="B112" s="190" t="s">
        <v>398</v>
      </c>
      <c r="C112" s="190">
        <v>27</v>
      </c>
      <c r="D112" s="191" t="s">
        <v>2723</v>
      </c>
      <c r="E112" s="192">
        <v>274</v>
      </c>
      <c r="F112" s="192" t="s">
        <v>2824</v>
      </c>
      <c r="G112" s="193" t="s">
        <v>2825</v>
      </c>
      <c r="H112" s="212" t="str">
        <f t="shared" ref="H112:H113" si="6">HYPERLINK("http://bsdd.buildingsmart.org/#concept/details/3prQAAWJmHu000025QrE$V","3prQAAWJmHu000025QrE$V")</f>
        <v>3prQAAWJmHu000025QrE$V</v>
      </c>
      <c r="I112" s="119" t="s">
        <v>4895</v>
      </c>
      <c r="J112" s="209" t="s">
        <v>3140</v>
      </c>
      <c r="K112" s="206" t="s">
        <v>3141</v>
      </c>
      <c r="L112" s="248" t="s">
        <v>3142</v>
      </c>
      <c r="M112" s="192" t="s">
        <v>3143</v>
      </c>
      <c r="N112" s="199" t="s">
        <v>1707</v>
      </c>
      <c r="O112" s="203" t="s">
        <v>1708</v>
      </c>
      <c r="P112" s="206" t="s">
        <v>2857</v>
      </c>
      <c r="Q112" s="192" t="s">
        <v>1680</v>
      </c>
      <c r="R112" s="207" t="s">
        <v>1681</v>
      </c>
      <c r="S112" s="207" t="s">
        <v>2073</v>
      </c>
      <c r="T112" s="207" t="s">
        <v>2353</v>
      </c>
      <c r="U112" s="201"/>
      <c r="V112" s="200"/>
      <c r="W112" s="201"/>
      <c r="X112" s="201"/>
      <c r="Y112" s="201"/>
      <c r="Z112" s="202" t="str">
        <f t="shared" si="0"/>
        <v>RLOM SanitaryTerminals</v>
      </c>
      <c r="AA112" s="172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</row>
    <row r="113" spans="1:40" ht="21.75" customHeight="1">
      <c r="A113" s="190">
        <v>2</v>
      </c>
      <c r="B113" s="190" t="s">
        <v>398</v>
      </c>
      <c r="C113" s="190">
        <v>27</v>
      </c>
      <c r="D113" s="191" t="s">
        <v>2723</v>
      </c>
      <c r="E113" s="192">
        <v>274</v>
      </c>
      <c r="F113" s="192" t="s">
        <v>2824</v>
      </c>
      <c r="G113" s="193" t="s">
        <v>2825</v>
      </c>
      <c r="H113" s="212" t="str">
        <f t="shared" si="6"/>
        <v>3prQAAWJmHu000025QrE$V</v>
      </c>
      <c r="I113" s="119" t="s">
        <v>1708</v>
      </c>
      <c r="J113" s="209" t="s">
        <v>3145</v>
      </c>
      <c r="K113" s="206" t="s">
        <v>1708</v>
      </c>
      <c r="L113" s="248" t="s">
        <v>3146</v>
      </c>
      <c r="M113" s="210"/>
      <c r="N113" s="199" t="s">
        <v>1707</v>
      </c>
      <c r="O113" s="203" t="s">
        <v>1708</v>
      </c>
      <c r="P113" s="206" t="s">
        <v>2857</v>
      </c>
      <c r="Q113" s="192" t="s">
        <v>1680</v>
      </c>
      <c r="R113" s="207" t="s">
        <v>1681</v>
      </c>
      <c r="S113" s="207" t="s">
        <v>2073</v>
      </c>
      <c r="T113" s="207" t="s">
        <v>2353</v>
      </c>
      <c r="U113" s="201"/>
      <c r="V113" s="200"/>
      <c r="W113" s="201"/>
      <c r="X113" s="201"/>
      <c r="Y113" s="201"/>
      <c r="Z113" s="202" t="str">
        <f t="shared" si="0"/>
        <v>RLOM SanitaryTerminals</v>
      </c>
      <c r="AA113" s="172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</row>
    <row r="114" spans="1:40" ht="21.75" customHeight="1">
      <c r="A114" s="190">
        <v>2</v>
      </c>
      <c r="B114" s="190" t="s">
        <v>398</v>
      </c>
      <c r="C114" s="190">
        <v>27</v>
      </c>
      <c r="D114" s="191" t="s">
        <v>2723</v>
      </c>
      <c r="E114" s="192">
        <v>274</v>
      </c>
      <c r="F114" s="192" t="s">
        <v>2824</v>
      </c>
      <c r="G114" s="193" t="s">
        <v>2825</v>
      </c>
      <c r="H114" s="212" t="str">
        <f>HYPERLINK("http://bsdd.buildingsmart.org/#concept/details/3vHWUCoT0Hsm00051Mm008","3vHWUCoT0Hsm00051Mm008")</f>
        <v>3vHWUCoT0Hsm00051Mm008</v>
      </c>
      <c r="I114" s="119" t="s">
        <v>2859</v>
      </c>
      <c r="J114" s="209" t="s">
        <v>3154</v>
      </c>
      <c r="K114" s="206"/>
      <c r="L114" s="248" t="s">
        <v>3156</v>
      </c>
      <c r="M114" s="210"/>
      <c r="N114" s="192"/>
      <c r="O114" s="192"/>
      <c r="P114" s="206"/>
      <c r="Q114" s="192" t="s">
        <v>2770</v>
      </c>
      <c r="R114" s="192" t="s">
        <v>2771</v>
      </c>
      <c r="S114" s="207" t="s">
        <v>2862</v>
      </c>
      <c r="T114" s="199"/>
      <c r="U114" s="201"/>
      <c r="V114" s="200"/>
      <c r="W114" s="201"/>
      <c r="X114" s="201"/>
      <c r="Y114" s="201"/>
      <c r="Z114" s="202" t="str">
        <f t="shared" si="0"/>
        <v>RLOM ElectricAppliances</v>
      </c>
      <c r="AA114" s="172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</row>
    <row r="115" spans="1:40" ht="27" customHeight="1">
      <c r="A115" s="190">
        <v>2</v>
      </c>
      <c r="B115" s="190" t="s">
        <v>398</v>
      </c>
      <c r="C115" s="190">
        <v>27</v>
      </c>
      <c r="D115" s="191" t="s">
        <v>2723</v>
      </c>
      <c r="E115" s="192">
        <v>274</v>
      </c>
      <c r="F115" s="192" t="s">
        <v>2824</v>
      </c>
      <c r="G115" s="193" t="s">
        <v>2825</v>
      </c>
      <c r="H115" s="212" t="str">
        <f>HYPERLINK("http://bsdd.buildingsmart.org/#concept/details/3vHMyCoT0Hsm00051Mm008","3vHMyCoT0Hsm00051Mm008")</f>
        <v>3vHMyCoT0Hsm00051Mm008</v>
      </c>
      <c r="I115" s="119" t="s">
        <v>2818</v>
      </c>
      <c r="J115" s="209" t="s">
        <v>3160</v>
      </c>
      <c r="K115" s="206" t="s">
        <v>2818</v>
      </c>
      <c r="L115" s="248" t="s">
        <v>3161</v>
      </c>
      <c r="M115" s="210"/>
      <c r="N115" s="192" t="s">
        <v>2816</v>
      </c>
      <c r="O115" s="192" t="s">
        <v>2818</v>
      </c>
      <c r="P115" s="206" t="s">
        <v>2819</v>
      </c>
      <c r="Q115" s="192" t="s">
        <v>2770</v>
      </c>
      <c r="R115" s="192" t="s">
        <v>2771</v>
      </c>
      <c r="S115" s="207" t="s">
        <v>2874</v>
      </c>
      <c r="T115" s="199"/>
      <c r="U115" s="201"/>
      <c r="V115" s="200"/>
      <c r="W115" s="201"/>
      <c r="X115" s="201"/>
      <c r="Y115" s="201"/>
      <c r="Z115" s="202" t="str">
        <f t="shared" si="0"/>
        <v>RLOM ElectricAppliances</v>
      </c>
      <c r="AA115" s="172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</row>
    <row r="116" spans="1:40" ht="18" customHeight="1">
      <c r="A116" s="190">
        <v>2</v>
      </c>
      <c r="B116" s="190" t="s">
        <v>398</v>
      </c>
      <c r="C116" s="190">
        <v>27</v>
      </c>
      <c r="D116" s="191" t="s">
        <v>2723</v>
      </c>
      <c r="E116" s="192">
        <v>275</v>
      </c>
      <c r="F116" s="192" t="s">
        <v>2875</v>
      </c>
      <c r="G116" s="193" t="s">
        <v>2876</v>
      </c>
      <c r="H116" s="212" t="str">
        <f>HYPERLINK("http://bsdd.buildingsmart.org/#concept/details/3vHIhsoT0Hsm00051Mm008","3vHIhsoT0Hsm00051Mm008")</f>
        <v>3vHIhsoT0Hsm00051Mm008</v>
      </c>
      <c r="I116" s="119" t="s">
        <v>2875</v>
      </c>
      <c r="J116" s="209" t="s">
        <v>3164</v>
      </c>
      <c r="K116" s="206" t="s">
        <v>2875</v>
      </c>
      <c r="L116" s="248" t="s">
        <v>3165</v>
      </c>
      <c r="M116" s="210"/>
      <c r="N116" s="192" t="s">
        <v>2879</v>
      </c>
      <c r="O116" s="192" t="s">
        <v>2880</v>
      </c>
      <c r="P116" s="206"/>
      <c r="Q116" s="192" t="s">
        <v>2783</v>
      </c>
      <c r="R116" s="192" t="s">
        <v>2886</v>
      </c>
      <c r="S116" s="207" t="s">
        <v>2887</v>
      </c>
      <c r="T116" s="199"/>
      <c r="U116" s="201"/>
      <c r="V116" s="200"/>
      <c r="W116" s="201"/>
      <c r="X116" s="201"/>
      <c r="Y116" s="201"/>
      <c r="Z116" s="202" t="str">
        <f t="shared" si="0"/>
        <v>RLOM Furnitures</v>
      </c>
      <c r="AA116" s="172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</row>
    <row r="117" spans="1:40" ht="18" customHeight="1">
      <c r="A117" s="190">
        <v>2</v>
      </c>
      <c r="B117" s="190" t="s">
        <v>398</v>
      </c>
      <c r="C117" s="190">
        <v>27</v>
      </c>
      <c r="D117" s="191" t="s">
        <v>2723</v>
      </c>
      <c r="E117" s="192">
        <v>275</v>
      </c>
      <c r="F117" s="192" t="s">
        <v>2875</v>
      </c>
      <c r="G117" s="193" t="s">
        <v>2876</v>
      </c>
      <c r="H117" s="212" t="str">
        <f>HYPERLINK("http://bsdd.buildingsmart.org/#concept/details/2PWRkm7c14DPitl9Mn16dS","2PWRkm7c14DPitl9Mn16dS")</f>
        <v>2PWRkm7c14DPitl9Mn16dS</v>
      </c>
      <c r="I117" s="125"/>
      <c r="J117" s="209" t="s">
        <v>3167</v>
      </c>
      <c r="K117" s="206" t="s">
        <v>2875</v>
      </c>
      <c r="L117" s="248" t="s">
        <v>3168</v>
      </c>
      <c r="M117" s="210"/>
      <c r="N117" s="192" t="s">
        <v>2879</v>
      </c>
      <c r="O117" s="192" t="s">
        <v>2880</v>
      </c>
      <c r="P117" s="206"/>
      <c r="Q117" s="192" t="s">
        <v>2783</v>
      </c>
      <c r="R117" s="192" t="s">
        <v>2886</v>
      </c>
      <c r="S117" s="207" t="s">
        <v>2887</v>
      </c>
      <c r="T117" s="199"/>
      <c r="U117" s="201"/>
      <c r="V117" s="200"/>
      <c r="W117" s="201"/>
      <c r="X117" s="201"/>
      <c r="Y117" s="201"/>
      <c r="Z117" s="202" t="str">
        <f t="shared" si="0"/>
        <v>RLOM Furnitures</v>
      </c>
      <c r="AA117" s="172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</row>
    <row r="118" spans="1:40" ht="27" customHeight="1">
      <c r="A118" s="190">
        <v>2</v>
      </c>
      <c r="B118" s="190" t="s">
        <v>398</v>
      </c>
      <c r="C118" s="190">
        <v>27</v>
      </c>
      <c r="D118" s="191" t="s">
        <v>2723</v>
      </c>
      <c r="E118" s="192">
        <v>276</v>
      </c>
      <c r="F118" s="192" t="s">
        <v>2889</v>
      </c>
      <c r="G118" s="193" t="s">
        <v>2891</v>
      </c>
      <c r="H118" s="212" t="str">
        <f>HYPERLINK("http://bsdd.buildingsmart.org/#concept/details/0rPAiVTPv6M9RsZTWF_9mU","0rPAiVTPv6M9RsZTWF_9mU")</f>
        <v>0rPAiVTPv6M9RsZTWF_9mU</v>
      </c>
      <c r="I118" s="119" t="s">
        <v>2892</v>
      </c>
      <c r="J118" s="209" t="s">
        <v>3170</v>
      </c>
      <c r="K118" s="206" t="s">
        <v>3171</v>
      </c>
      <c r="L118" s="248" t="s">
        <v>3172</v>
      </c>
      <c r="M118" s="210"/>
      <c r="N118" s="192" t="s">
        <v>2778</v>
      </c>
      <c r="O118" s="192" t="s">
        <v>2779</v>
      </c>
      <c r="P118" s="206" t="s">
        <v>2780</v>
      </c>
      <c r="Q118" s="192" t="s">
        <v>2783</v>
      </c>
      <c r="R118" s="192" t="s">
        <v>2886</v>
      </c>
      <c r="S118" s="207" t="s">
        <v>2896</v>
      </c>
      <c r="T118" s="199"/>
      <c r="U118" s="201"/>
      <c r="V118" s="200"/>
      <c r="W118" s="201"/>
      <c r="X118" s="201"/>
      <c r="Y118" s="201"/>
      <c r="Z118" s="202" t="str">
        <f t="shared" si="0"/>
        <v>RLOM Furnitures</v>
      </c>
      <c r="AA118" s="172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</row>
    <row r="119" spans="1:40" ht="27" customHeight="1">
      <c r="A119" s="190">
        <v>2</v>
      </c>
      <c r="B119" s="190" t="s">
        <v>398</v>
      </c>
      <c r="C119" s="190">
        <v>27</v>
      </c>
      <c r="D119" s="191" t="s">
        <v>2723</v>
      </c>
      <c r="E119" s="192">
        <v>276</v>
      </c>
      <c r="F119" s="192" t="s">
        <v>2889</v>
      </c>
      <c r="G119" s="193" t="s">
        <v>2891</v>
      </c>
      <c r="H119" s="212" t="str">
        <f>HYPERLINK("http://bsdd.buildingsmart.org/#concept/details/3wO1mAWJGHu000025QrE$V","3wO1mAWJGHu000025QrE$V")</f>
        <v>3wO1mAWJGHu000025QrE$V</v>
      </c>
      <c r="I119" s="125"/>
      <c r="J119" s="209" t="s">
        <v>3174</v>
      </c>
      <c r="K119" s="206" t="s">
        <v>3175</v>
      </c>
      <c r="L119" s="248" t="s">
        <v>3176</v>
      </c>
      <c r="M119" s="210"/>
      <c r="N119" s="192" t="s">
        <v>2778</v>
      </c>
      <c r="O119" s="192" t="s">
        <v>2779</v>
      </c>
      <c r="P119" s="206" t="s">
        <v>2780</v>
      </c>
      <c r="Q119" s="192" t="s">
        <v>2783</v>
      </c>
      <c r="R119" s="192" t="s">
        <v>2886</v>
      </c>
      <c r="S119" s="207" t="s">
        <v>2896</v>
      </c>
      <c r="T119" s="199"/>
      <c r="U119" s="201"/>
      <c r="V119" s="200"/>
      <c r="W119" s="201"/>
      <c r="X119" s="201"/>
      <c r="Y119" s="201"/>
      <c r="Z119" s="202" t="str">
        <f t="shared" si="0"/>
        <v>RLOM Furnitures</v>
      </c>
      <c r="AA119" s="172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</row>
    <row r="120" spans="1:40" ht="27" customHeight="1">
      <c r="A120" s="190">
        <v>2</v>
      </c>
      <c r="B120" s="190" t="s">
        <v>398</v>
      </c>
      <c r="C120" s="190">
        <v>27</v>
      </c>
      <c r="D120" s="191" t="s">
        <v>2723</v>
      </c>
      <c r="E120" s="192">
        <v>276</v>
      </c>
      <c r="F120" s="192" t="s">
        <v>2889</v>
      </c>
      <c r="G120" s="193" t="s">
        <v>2891</v>
      </c>
      <c r="H120" s="212" t="str">
        <f>HYPERLINK("http://bsdd.buildingsmart.org/#concept/details/2qfr6AWJmHu000025QrE$V","2qfr6AWJmHu000025QrE$V")</f>
        <v>2qfr6AWJmHu000025QrE$V</v>
      </c>
      <c r="I120" s="119" t="s">
        <v>2899</v>
      </c>
      <c r="J120" s="209" t="s">
        <v>3179</v>
      </c>
      <c r="K120" s="206" t="s">
        <v>3180</v>
      </c>
      <c r="L120" s="248" t="s">
        <v>3181</v>
      </c>
      <c r="M120" s="210"/>
      <c r="N120" s="192" t="s">
        <v>2412</v>
      </c>
      <c r="O120" s="192" t="s">
        <v>2779</v>
      </c>
      <c r="P120" s="206" t="s">
        <v>2780</v>
      </c>
      <c r="Q120" s="192" t="s">
        <v>2783</v>
      </c>
      <c r="R120" s="192" t="s">
        <v>2886</v>
      </c>
      <c r="S120" s="207" t="s">
        <v>2903</v>
      </c>
      <c r="T120" s="199"/>
      <c r="U120" s="201"/>
      <c r="V120" s="200"/>
      <c r="W120" s="201"/>
      <c r="X120" s="201"/>
      <c r="Y120" s="201"/>
      <c r="Z120" s="202" t="str">
        <f t="shared" si="0"/>
        <v>RLOM Furnitures</v>
      </c>
      <c r="AA120" s="172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</row>
    <row r="121" spans="1:40" ht="27" customHeight="1">
      <c r="A121" s="190">
        <v>2</v>
      </c>
      <c r="B121" s="190" t="s">
        <v>398</v>
      </c>
      <c r="C121" s="190">
        <v>27</v>
      </c>
      <c r="D121" s="191" t="s">
        <v>2723</v>
      </c>
      <c r="E121" s="192">
        <v>276</v>
      </c>
      <c r="F121" s="192" t="s">
        <v>2889</v>
      </c>
      <c r="G121" s="193" t="s">
        <v>2891</v>
      </c>
      <c r="H121" s="212" t="str">
        <f>HYPERLINK("http://bsdd.buildingsmart.org/#concept/details/1IynJ2VFX7pgNRxjni6K5K","1IynJ2VFX7pgNRxjni6K5K")</f>
        <v>1IynJ2VFX7pgNRxjni6K5K</v>
      </c>
      <c r="I121" s="125"/>
      <c r="J121" s="209" t="s">
        <v>3185</v>
      </c>
      <c r="K121" s="206" t="s">
        <v>2899</v>
      </c>
      <c r="L121" s="248" t="s">
        <v>3186</v>
      </c>
      <c r="M121" s="210"/>
      <c r="N121" s="192" t="s">
        <v>2412</v>
      </c>
      <c r="O121" s="192" t="s">
        <v>2779</v>
      </c>
      <c r="P121" s="206" t="s">
        <v>2780</v>
      </c>
      <c r="Q121" s="192" t="s">
        <v>2783</v>
      </c>
      <c r="R121" s="192" t="s">
        <v>2886</v>
      </c>
      <c r="S121" s="207" t="s">
        <v>2903</v>
      </c>
      <c r="T121" s="199"/>
      <c r="U121" s="201"/>
      <c r="V121" s="200"/>
      <c r="W121" s="201"/>
      <c r="X121" s="201"/>
      <c r="Y121" s="201"/>
      <c r="Z121" s="202" t="str">
        <f t="shared" si="0"/>
        <v>RLOM Furnitures</v>
      </c>
      <c r="AA121" s="172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</row>
    <row r="122" spans="1:40" ht="27" customHeight="1">
      <c r="A122" s="190">
        <v>2</v>
      </c>
      <c r="B122" s="190" t="s">
        <v>398</v>
      </c>
      <c r="C122" s="190">
        <v>27</v>
      </c>
      <c r="D122" s="191" t="s">
        <v>2723</v>
      </c>
      <c r="E122" s="192">
        <v>276</v>
      </c>
      <c r="F122" s="192" t="s">
        <v>2889</v>
      </c>
      <c r="G122" s="193" t="s">
        <v>2891</v>
      </c>
      <c r="H122" s="212" t="str">
        <f>HYPERLINK("http://bsdd.buildingsmart.org/#concept/details/3eoaI0WJCHu000025QrE$V","3eoaI0WJCHu000025QrE$V")</f>
        <v>3eoaI0WJCHu000025QrE$V</v>
      </c>
      <c r="I122" s="119" t="s">
        <v>2906</v>
      </c>
      <c r="J122" s="209" t="s">
        <v>3195</v>
      </c>
      <c r="K122" s="206" t="s">
        <v>2906</v>
      </c>
      <c r="L122" s="248" t="s">
        <v>3196</v>
      </c>
      <c r="M122" s="210"/>
      <c r="N122" s="192" t="s">
        <v>2909</v>
      </c>
      <c r="O122" s="192" t="s">
        <v>2779</v>
      </c>
      <c r="P122" s="206" t="s">
        <v>2780</v>
      </c>
      <c r="Q122" s="192" t="s">
        <v>2783</v>
      </c>
      <c r="R122" s="192" t="s">
        <v>2886</v>
      </c>
      <c r="S122" s="207" t="s">
        <v>2910</v>
      </c>
      <c r="T122" s="199"/>
      <c r="U122" s="201"/>
      <c r="V122" s="200"/>
      <c r="W122" s="201"/>
      <c r="X122" s="201"/>
      <c r="Y122" s="201"/>
      <c r="Z122" s="202" t="str">
        <f t="shared" si="0"/>
        <v>RLOM Furnitures</v>
      </c>
      <c r="AA122" s="172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</row>
    <row r="123" spans="1:40" ht="27" customHeight="1">
      <c r="A123" s="190">
        <v>2</v>
      </c>
      <c r="B123" s="190" t="s">
        <v>398</v>
      </c>
      <c r="C123" s="190">
        <v>27</v>
      </c>
      <c r="D123" s="191" t="s">
        <v>2723</v>
      </c>
      <c r="E123" s="192">
        <v>276</v>
      </c>
      <c r="F123" s="192" t="s">
        <v>2889</v>
      </c>
      <c r="G123" s="193" t="s">
        <v>2891</v>
      </c>
      <c r="H123" s="212" t="str">
        <f>HYPERLINK("http://bsdd.buildingsmart.org/#concept/details/0Up5U_4C97oRePLAOUBzvf","0Up5U_4C97oRePLAOUBzvf")</f>
        <v>0Up5U_4C97oRePLAOUBzvf</v>
      </c>
      <c r="I123" s="125"/>
      <c r="J123" s="209" t="s">
        <v>3200</v>
      </c>
      <c r="K123" s="206" t="s">
        <v>2906</v>
      </c>
      <c r="L123" s="248" t="s">
        <v>3201</v>
      </c>
      <c r="M123" s="210"/>
      <c r="N123" s="192" t="s">
        <v>2909</v>
      </c>
      <c r="O123" s="192" t="s">
        <v>2779</v>
      </c>
      <c r="P123" s="206" t="s">
        <v>2780</v>
      </c>
      <c r="Q123" s="192" t="s">
        <v>2783</v>
      </c>
      <c r="R123" s="192" t="s">
        <v>2886</v>
      </c>
      <c r="S123" s="207" t="s">
        <v>2910</v>
      </c>
      <c r="T123" s="199"/>
      <c r="U123" s="201"/>
      <c r="V123" s="200"/>
      <c r="W123" s="201"/>
      <c r="X123" s="201"/>
      <c r="Y123" s="201"/>
      <c r="Z123" s="202" t="str">
        <f t="shared" si="0"/>
        <v>RLOM Furnitures</v>
      </c>
      <c r="AA123" s="172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</row>
    <row r="124" spans="1:40" ht="27" customHeight="1">
      <c r="A124" s="190">
        <v>2</v>
      </c>
      <c r="B124" s="190" t="s">
        <v>398</v>
      </c>
      <c r="C124" s="190">
        <v>27</v>
      </c>
      <c r="D124" s="191" t="s">
        <v>2723</v>
      </c>
      <c r="E124" s="192">
        <v>277</v>
      </c>
      <c r="F124" s="192" t="s">
        <v>2911</v>
      </c>
      <c r="G124" s="193" t="s">
        <v>2912</v>
      </c>
      <c r="H124" s="212" t="str">
        <f>HYPERLINK("http://bsdd.buildingsmart.org/#concept/details/1gSA40WJaHu000025QrE$V","1gSA40WJaHu000025QrE$V")</f>
        <v>1gSA40WJaHu000025QrE$V</v>
      </c>
      <c r="I124" s="119" t="s">
        <v>2911</v>
      </c>
      <c r="J124" s="209" t="s">
        <v>3204</v>
      </c>
      <c r="K124" s="206" t="s">
        <v>2911</v>
      </c>
      <c r="L124" s="248" t="s">
        <v>3205</v>
      </c>
      <c r="M124" s="210"/>
      <c r="N124" s="192" t="s">
        <v>2778</v>
      </c>
      <c r="O124" s="192" t="s">
        <v>2779</v>
      </c>
      <c r="P124" s="206" t="s">
        <v>2780</v>
      </c>
      <c r="Q124" s="192" t="s">
        <v>2783</v>
      </c>
      <c r="R124" s="207"/>
      <c r="S124" s="207"/>
      <c r="T124" s="199"/>
      <c r="U124" s="200"/>
      <c r="V124" s="200"/>
      <c r="W124" s="201"/>
      <c r="X124" s="201"/>
      <c r="Y124" s="201"/>
      <c r="Z124" s="202" t="str">
        <f t="shared" si="0"/>
        <v>RLOM Furnitures</v>
      </c>
      <c r="AA124" s="172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</row>
    <row r="125" spans="1:40" ht="27" customHeight="1">
      <c r="A125" s="190">
        <v>2</v>
      </c>
      <c r="B125" s="190" t="s">
        <v>398</v>
      </c>
      <c r="C125" s="190">
        <v>27</v>
      </c>
      <c r="D125" s="191" t="s">
        <v>2723</v>
      </c>
      <c r="E125" s="192">
        <v>277</v>
      </c>
      <c r="F125" s="192" t="s">
        <v>2911</v>
      </c>
      <c r="G125" s="193" t="s">
        <v>2912</v>
      </c>
      <c r="H125" s="212" t="str">
        <f>HYPERLINK("http://bsdd.buildingsmart.org/#concept/details/0bv2zpjVv7ZRLUSrKLhjbl","0bv2zpjVv7ZRLUSrKLhjbl")</f>
        <v>0bv2zpjVv7ZRLUSrKLhjbl</v>
      </c>
      <c r="I125" s="125"/>
      <c r="J125" s="209" t="s">
        <v>3212</v>
      </c>
      <c r="K125" s="206" t="s">
        <v>2911</v>
      </c>
      <c r="L125" s="248" t="s">
        <v>3213</v>
      </c>
      <c r="M125" s="210"/>
      <c r="N125" s="192" t="s">
        <v>2778</v>
      </c>
      <c r="O125" s="192" t="s">
        <v>2779</v>
      </c>
      <c r="P125" s="206" t="s">
        <v>2780</v>
      </c>
      <c r="Q125" s="192" t="s">
        <v>2783</v>
      </c>
      <c r="R125" s="207"/>
      <c r="S125" s="207"/>
      <c r="T125" s="199"/>
      <c r="U125" s="200"/>
      <c r="V125" s="200"/>
      <c r="W125" s="201"/>
      <c r="X125" s="201"/>
      <c r="Y125" s="201"/>
      <c r="Z125" s="202" t="str">
        <f t="shared" si="0"/>
        <v>RLOM Furnitures</v>
      </c>
      <c r="AA125" s="172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</row>
    <row r="126" spans="1:40" ht="27" customHeight="1">
      <c r="A126" s="190">
        <v>2</v>
      </c>
      <c r="B126" s="190" t="s">
        <v>398</v>
      </c>
      <c r="C126" s="190">
        <v>27</v>
      </c>
      <c r="D126" s="191" t="s">
        <v>2723</v>
      </c>
      <c r="E126" s="192">
        <v>279</v>
      </c>
      <c r="F126" s="192" t="s">
        <v>2918</v>
      </c>
      <c r="G126" s="193" t="s">
        <v>1949</v>
      </c>
      <c r="H126" s="212" t="str">
        <f>HYPERLINK("http://bsdd.buildingsmart.org/#concept/details/1v1Ntv0Hb4mxDz06pDwdkc","1v1Ntv0Hb4mxDz06pDwdkc")</f>
        <v>1v1Ntv0Hb4mxDz06pDwdkc</v>
      </c>
      <c r="I126" s="119" t="s">
        <v>2919</v>
      </c>
      <c r="J126" s="209" t="s">
        <v>3214</v>
      </c>
      <c r="K126" s="206" t="s">
        <v>2921</v>
      </c>
      <c r="L126" s="248" t="s">
        <v>3215</v>
      </c>
      <c r="M126" s="210"/>
      <c r="N126" s="192" t="s">
        <v>2923</v>
      </c>
      <c r="O126" s="192" t="s">
        <v>2919</v>
      </c>
      <c r="P126" s="206" t="s">
        <v>2924</v>
      </c>
      <c r="Q126" s="192" t="s">
        <v>2783</v>
      </c>
      <c r="R126" s="207"/>
      <c r="S126" s="207"/>
      <c r="T126" s="199"/>
      <c r="U126" s="200"/>
      <c r="V126" s="200"/>
      <c r="W126" s="201"/>
      <c r="X126" s="201"/>
      <c r="Y126" s="201"/>
      <c r="Z126" s="202" t="str">
        <f t="shared" si="0"/>
        <v>RLOM Furnitures</v>
      </c>
      <c r="AA126" s="172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</row>
    <row r="127" spans="1:40" ht="18" customHeight="1">
      <c r="A127" s="190">
        <v>2</v>
      </c>
      <c r="B127" s="190" t="s">
        <v>398</v>
      </c>
      <c r="C127" s="190">
        <v>28</v>
      </c>
      <c r="D127" s="191" t="s">
        <v>2925</v>
      </c>
      <c r="E127" s="192">
        <v>281</v>
      </c>
      <c r="F127" s="192" t="s">
        <v>2926</v>
      </c>
      <c r="G127" s="193" t="s">
        <v>2928</v>
      </c>
      <c r="H127" s="212" t="str">
        <f>HYPERLINK("http://bsdd.buildingsmart.org/#concept/details/2qAcUNUDTCUul2RQzCMBXD","2qAcUNUDTCUul2RQzCMBXD")</f>
        <v>2qAcUNUDTCUul2RQzCMBXD</v>
      </c>
      <c r="I127" s="119" t="s">
        <v>4896</v>
      </c>
      <c r="J127" s="209" t="s">
        <v>3217</v>
      </c>
      <c r="K127" s="206" t="s">
        <v>2930</v>
      </c>
      <c r="L127" s="248" t="s">
        <v>3218</v>
      </c>
      <c r="M127" s="210"/>
      <c r="N127" s="192"/>
      <c r="O127" s="192"/>
      <c r="P127" s="193"/>
      <c r="Q127" s="192" t="s">
        <v>2933</v>
      </c>
      <c r="R127" s="207"/>
      <c r="S127" s="207"/>
      <c r="T127" s="199" t="s">
        <v>2934</v>
      </c>
      <c r="U127" s="200"/>
      <c r="V127" s="200"/>
      <c r="W127" s="201"/>
      <c r="X127" s="201"/>
      <c r="Y127" s="201"/>
      <c r="Z127" s="202" t="str">
        <f t="shared" si="0"/>
        <v>RLOM Stairs</v>
      </c>
      <c r="AA127" s="172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</row>
    <row r="128" spans="1:40" ht="27" customHeight="1">
      <c r="A128" s="190">
        <v>2</v>
      </c>
      <c r="B128" s="190" t="s">
        <v>398</v>
      </c>
      <c r="C128" s="190">
        <v>28</v>
      </c>
      <c r="D128" s="191" t="s">
        <v>2925</v>
      </c>
      <c r="E128" s="192">
        <v>282</v>
      </c>
      <c r="F128" s="192" t="s">
        <v>2936</v>
      </c>
      <c r="G128" s="193" t="s">
        <v>2937</v>
      </c>
      <c r="H128" s="212" t="str">
        <f>HYPERLINK("http://bsdd.buildingsmart.org/#concept/details/13nS8IXDj1jxpos0P7mTG_","13nS8IXDj1jxpos0P7mTG_")</f>
        <v>13nS8IXDj1jxpos0P7mTG_</v>
      </c>
      <c r="I128" s="119" t="s">
        <v>4897</v>
      </c>
      <c r="J128" s="209" t="s">
        <v>3219</v>
      </c>
      <c r="K128" s="206" t="s">
        <v>1064</v>
      </c>
      <c r="L128" s="248" t="s">
        <v>3220</v>
      </c>
      <c r="M128" s="210"/>
      <c r="N128" s="192"/>
      <c r="O128" s="192"/>
      <c r="P128" s="206"/>
      <c r="Q128" s="192" t="s">
        <v>2933</v>
      </c>
      <c r="R128" s="207"/>
      <c r="S128" s="207"/>
      <c r="T128" s="199" t="s">
        <v>2939</v>
      </c>
      <c r="U128" s="200"/>
      <c r="V128" s="200"/>
      <c r="W128" s="201"/>
      <c r="X128" s="201"/>
      <c r="Y128" s="201"/>
      <c r="Z128" s="202" t="str">
        <f t="shared" si="0"/>
        <v>RLOM Stairs</v>
      </c>
      <c r="AA128" s="172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</row>
    <row r="129" spans="1:40" ht="27" customHeight="1">
      <c r="A129" s="190">
        <v>2</v>
      </c>
      <c r="B129" s="190" t="s">
        <v>398</v>
      </c>
      <c r="C129" s="190">
        <v>28</v>
      </c>
      <c r="D129" s="191" t="s">
        <v>2925</v>
      </c>
      <c r="E129" s="192">
        <v>283</v>
      </c>
      <c r="F129" s="192" t="s">
        <v>2940</v>
      </c>
      <c r="G129" s="193" t="s">
        <v>2941</v>
      </c>
      <c r="H129" s="212" t="str">
        <f>HYPERLINK("http://bsdd.buildingsmart.org/#concept/details/0kpjo0qVyHuO00025QrE$V","0kpjo0qVyHuO00025QrE$V")</f>
        <v>0kpjo0qVyHuO00025QrE$V</v>
      </c>
      <c r="I129" s="119" t="s">
        <v>2942</v>
      </c>
      <c r="J129" s="209" t="s">
        <v>3224</v>
      </c>
      <c r="K129" s="206" t="s">
        <v>2942</v>
      </c>
      <c r="L129" s="248" t="s">
        <v>3225</v>
      </c>
      <c r="M129" s="210"/>
      <c r="N129" s="192" t="s">
        <v>2944</v>
      </c>
      <c r="O129" s="192" t="s">
        <v>2945</v>
      </c>
      <c r="P129" s="206" t="s">
        <v>2946</v>
      </c>
      <c r="Q129" s="192" t="s">
        <v>2947</v>
      </c>
      <c r="R129" s="192"/>
      <c r="S129" s="207"/>
      <c r="T129" s="199"/>
      <c r="U129" s="200"/>
      <c r="V129" s="200"/>
      <c r="W129" s="201"/>
      <c r="X129" s="201"/>
      <c r="Y129" s="201"/>
      <c r="Z129" s="202" t="str">
        <f t="shared" si="0"/>
        <v>RLOM Ramps</v>
      </c>
      <c r="AA129" s="172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</row>
    <row r="130" spans="1:40" ht="27" customHeight="1">
      <c r="A130" s="190">
        <v>2</v>
      </c>
      <c r="B130" s="190" t="s">
        <v>398</v>
      </c>
      <c r="C130" s="190">
        <v>28</v>
      </c>
      <c r="D130" s="191" t="s">
        <v>2925</v>
      </c>
      <c r="E130" s="192">
        <v>284</v>
      </c>
      <c r="F130" s="192" t="s">
        <v>2954</v>
      </c>
      <c r="G130" s="193" t="s">
        <v>2955</v>
      </c>
      <c r="H130" s="212" t="str">
        <f>HYPERLINK("http://bsdd.buildingsmart.org/#concept/details/08k5hSAWD5m9CbfFE5s2Qn","08k5hSAWD5m9CbfFE5s2Qn")</f>
        <v>08k5hSAWD5m9CbfFE5s2Qn</v>
      </c>
      <c r="I130" s="119" t="s">
        <v>4898</v>
      </c>
      <c r="J130" s="209" t="s">
        <v>3230</v>
      </c>
      <c r="K130" s="206" t="s">
        <v>2956</v>
      </c>
      <c r="L130" s="248" t="s">
        <v>3231</v>
      </c>
      <c r="M130" s="210"/>
      <c r="N130" s="192" t="s">
        <v>2958</v>
      </c>
      <c r="O130" s="192" t="s">
        <v>2959</v>
      </c>
      <c r="P130" s="206"/>
      <c r="Q130" s="207" t="s">
        <v>928</v>
      </c>
      <c r="R130" s="199" t="s">
        <v>973</v>
      </c>
      <c r="S130" s="207" t="s">
        <v>2170</v>
      </c>
      <c r="T130" s="199"/>
      <c r="U130" s="200"/>
      <c r="V130" s="200"/>
      <c r="W130" s="201"/>
      <c r="X130" s="201"/>
      <c r="Y130" s="201"/>
      <c r="Z130" s="202" t="str">
        <f t="shared" si="0"/>
        <v>RLOM Slabs</v>
      </c>
      <c r="AA130" s="172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</row>
    <row r="131" spans="1:40" ht="27" customHeight="1">
      <c r="A131" s="190">
        <v>2</v>
      </c>
      <c r="B131" s="190" t="s">
        <v>398</v>
      </c>
      <c r="C131" s="190">
        <v>28</v>
      </c>
      <c r="D131" s="191" t="s">
        <v>2925</v>
      </c>
      <c r="E131" s="192">
        <v>284</v>
      </c>
      <c r="F131" s="192" t="s">
        <v>2954</v>
      </c>
      <c r="G131" s="193" t="s">
        <v>2955</v>
      </c>
      <c r="H131" s="212" t="str">
        <f>HYPERLINK("http://bsdd.buildingsmart.org/#concept/details/28TxPNfob5gRsy7JCW5Usq","28TxPNfob5gRsy7JCW5Usq")</f>
        <v>28TxPNfob5gRsy7JCW5Usq</v>
      </c>
      <c r="I131" s="119" t="s">
        <v>4899</v>
      </c>
      <c r="J131" s="209" t="s">
        <v>3235</v>
      </c>
      <c r="K131" s="206" t="s">
        <v>2962</v>
      </c>
      <c r="L131" s="248" t="s">
        <v>3236</v>
      </c>
      <c r="M131" s="210"/>
      <c r="N131" s="192" t="s">
        <v>2958</v>
      </c>
      <c r="O131" s="192" t="s">
        <v>2959</v>
      </c>
      <c r="P131" s="206"/>
      <c r="Q131" s="192" t="s">
        <v>2966</v>
      </c>
      <c r="R131" s="207" t="s">
        <v>2967</v>
      </c>
      <c r="S131" s="207" t="s">
        <v>2969</v>
      </c>
      <c r="T131" s="199"/>
      <c r="U131" s="200"/>
      <c r="V131" s="200"/>
      <c r="W131" s="201"/>
      <c r="X131" s="201"/>
      <c r="Y131" s="201"/>
      <c r="Z131" s="202" t="str">
        <f t="shared" si="0"/>
        <v>RLOM Railings</v>
      </c>
      <c r="AA131" s="172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</row>
    <row r="132" spans="1:40" ht="27" customHeight="1">
      <c r="A132" s="190">
        <v>2</v>
      </c>
      <c r="B132" s="190" t="s">
        <v>398</v>
      </c>
      <c r="C132" s="190">
        <v>28</v>
      </c>
      <c r="D132" s="191" t="s">
        <v>2925</v>
      </c>
      <c r="E132" s="192">
        <v>284</v>
      </c>
      <c r="F132" s="192" t="s">
        <v>2954</v>
      </c>
      <c r="G132" s="193" t="s">
        <v>2955</v>
      </c>
      <c r="H132" s="212" t="str">
        <f>HYPERLINK("http://bsdd.buildingsmart.org/#concept/details/3vHPy4oT0Hsm00051Mm008","3vHPy4oT0Hsm00051Mm008")</f>
        <v>3vHPy4oT0Hsm00051Mm008</v>
      </c>
      <c r="I132" s="119" t="s">
        <v>4900</v>
      </c>
      <c r="J132" s="209" t="s">
        <v>3238</v>
      </c>
      <c r="K132" s="206" t="s">
        <v>2976</v>
      </c>
      <c r="L132" s="248" t="s">
        <v>3239</v>
      </c>
      <c r="M132" s="210"/>
      <c r="N132" s="192" t="s">
        <v>2958</v>
      </c>
      <c r="O132" s="192" t="s">
        <v>2959</v>
      </c>
      <c r="P132" s="206"/>
      <c r="Q132" s="192" t="s">
        <v>800</v>
      </c>
      <c r="R132" s="207"/>
      <c r="S132" s="207"/>
      <c r="T132" s="199"/>
      <c r="U132" s="200"/>
      <c r="V132" s="200"/>
      <c r="W132" s="201"/>
      <c r="X132" s="201"/>
      <c r="Y132" s="201"/>
      <c r="Z132" s="202" t="str">
        <f t="shared" si="0"/>
        <v>RLOM Walls</v>
      </c>
      <c r="AA132" s="172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</row>
    <row r="133" spans="1:40" ht="12.75" customHeight="1">
      <c r="A133" s="190">
        <v>2</v>
      </c>
      <c r="B133" s="190" t="s">
        <v>398</v>
      </c>
      <c r="C133" s="190">
        <v>28</v>
      </c>
      <c r="D133" s="191" t="s">
        <v>2925</v>
      </c>
      <c r="E133" s="192">
        <v>285</v>
      </c>
      <c r="F133" s="192" t="s">
        <v>2983</v>
      </c>
      <c r="G133" s="193" t="s">
        <v>1500</v>
      </c>
      <c r="H133" s="212" t="str">
        <f>HYPERLINK("http://bsdd.buildingsmart.org/#concept/details/3vHYA0oT0Hsm00051Mm008","3vHYA0oT0Hsm00051Mm008")</f>
        <v>3vHYA0oT0Hsm00051Mm008</v>
      </c>
      <c r="I133" s="119" t="s">
        <v>2983</v>
      </c>
      <c r="J133" s="209" t="s">
        <v>3242</v>
      </c>
      <c r="K133" s="206" t="s">
        <v>2983</v>
      </c>
      <c r="L133" s="248" t="s">
        <v>3244</v>
      </c>
      <c r="M133" s="210"/>
      <c r="N133" s="192"/>
      <c r="O133" s="203"/>
      <c r="P133" s="206"/>
      <c r="Q133" s="207" t="s">
        <v>928</v>
      </c>
      <c r="R133" s="199" t="s">
        <v>973</v>
      </c>
      <c r="S133" s="207" t="s">
        <v>2170</v>
      </c>
      <c r="T133" s="199"/>
      <c r="U133" s="200"/>
      <c r="V133" s="200"/>
      <c r="W133" s="201"/>
      <c r="X133" s="201"/>
      <c r="Y133" s="201"/>
      <c r="Z133" s="202" t="str">
        <f t="shared" si="0"/>
        <v>RLOM Slabs</v>
      </c>
      <c r="AA133" s="172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</row>
    <row r="134" spans="1:40" ht="12.75" customHeight="1">
      <c r="A134" s="190">
        <v>2</v>
      </c>
      <c r="B134" s="190" t="s">
        <v>398</v>
      </c>
      <c r="C134" s="190">
        <v>28</v>
      </c>
      <c r="D134" s="191" t="s">
        <v>2925</v>
      </c>
      <c r="E134" s="192">
        <v>285</v>
      </c>
      <c r="F134" s="192" t="s">
        <v>2983</v>
      </c>
      <c r="G134" s="193" t="s">
        <v>1500</v>
      </c>
      <c r="H134" s="212" t="str">
        <f>HYPERLINK("http://bsdd.buildingsmart.org/#concept/details/2WcFEBj7H9wwoH1JFWqC9i","2WcFEBj7H9wwoH1JFWqC9i")</f>
        <v>2WcFEBj7H9wwoH1JFWqC9i</v>
      </c>
      <c r="I134" s="125"/>
      <c r="J134" s="209" t="s">
        <v>3246</v>
      </c>
      <c r="K134" s="206" t="s">
        <v>2983</v>
      </c>
      <c r="L134" s="248" t="s">
        <v>3247</v>
      </c>
      <c r="M134" s="210"/>
      <c r="N134" s="192"/>
      <c r="O134" s="203"/>
      <c r="P134" s="206"/>
      <c r="Q134" s="207" t="s">
        <v>928</v>
      </c>
      <c r="R134" s="199" t="s">
        <v>973</v>
      </c>
      <c r="S134" s="207" t="s">
        <v>2170</v>
      </c>
      <c r="T134" s="199"/>
      <c r="U134" s="200"/>
      <c r="V134" s="200"/>
      <c r="W134" s="201"/>
      <c r="X134" s="201"/>
      <c r="Y134" s="201"/>
      <c r="Z134" s="202" t="str">
        <f t="shared" si="0"/>
        <v>RLOM Slabs</v>
      </c>
      <c r="AA134" s="172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</row>
    <row r="135" spans="1:40" ht="21.75" customHeight="1">
      <c r="A135" s="190">
        <v>2</v>
      </c>
      <c r="B135" s="190" t="s">
        <v>398</v>
      </c>
      <c r="C135" s="190">
        <v>28</v>
      </c>
      <c r="D135" s="191" t="s">
        <v>2925</v>
      </c>
      <c r="E135" s="192">
        <v>286</v>
      </c>
      <c r="F135" s="192" t="s">
        <v>2989</v>
      </c>
      <c r="G135" s="193"/>
      <c r="H135" s="212" t="str">
        <f>HYPERLINK("http://bsdd.buildingsmart.org/#concept/details/0d9B5ip0r8xOYHfTyRFeZb","0d9B5ip0r8xOYHfTyRFeZb")</f>
        <v>0d9B5ip0r8xOYHfTyRFeZb</v>
      </c>
      <c r="I135" s="119" t="s">
        <v>2989</v>
      </c>
      <c r="J135" s="209" t="s">
        <v>3249</v>
      </c>
      <c r="K135" s="206" t="s">
        <v>3250</v>
      </c>
      <c r="L135" s="248" t="s">
        <v>3251</v>
      </c>
      <c r="M135" s="210"/>
      <c r="N135" s="192"/>
      <c r="O135" s="203"/>
      <c r="P135" s="206"/>
      <c r="Q135" s="199" t="s">
        <v>2556</v>
      </c>
      <c r="R135" s="207"/>
      <c r="S135" s="207"/>
      <c r="T135" s="199"/>
      <c r="U135" s="200"/>
      <c r="V135" s="200"/>
      <c r="W135" s="201"/>
      <c r="X135" s="201"/>
      <c r="Y135" s="201"/>
      <c r="Z135" s="202" t="str">
        <f t="shared" si="0"/>
        <v>RLOM Roofs</v>
      </c>
      <c r="AA135" s="172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</row>
    <row r="136" spans="1:40" ht="21.75" customHeight="1">
      <c r="A136" s="190">
        <v>2</v>
      </c>
      <c r="B136" s="190" t="s">
        <v>398</v>
      </c>
      <c r="C136" s="190">
        <v>28</v>
      </c>
      <c r="D136" s="191" t="s">
        <v>2925</v>
      </c>
      <c r="E136" s="192">
        <v>286</v>
      </c>
      <c r="F136" s="192" t="s">
        <v>2989</v>
      </c>
      <c r="G136" s="193"/>
      <c r="H136" s="212" t="str">
        <f>HYPERLINK("http://bsdd.buildingsmart.org/#concept/details/3ehZ$GpkL5svFnWavl8o5n","3ehZ$GpkL5svFnWavl8o5n")</f>
        <v>3ehZ$GpkL5svFnWavl8o5n</v>
      </c>
      <c r="I136" s="125"/>
      <c r="J136" s="209" t="s">
        <v>3257</v>
      </c>
      <c r="K136" s="206"/>
      <c r="L136" s="248" t="s">
        <v>3258</v>
      </c>
      <c r="M136" s="210"/>
      <c r="N136" s="192"/>
      <c r="O136" s="203"/>
      <c r="P136" s="206"/>
      <c r="Q136" s="199" t="s">
        <v>2556</v>
      </c>
      <c r="R136" s="207"/>
      <c r="S136" s="207"/>
      <c r="T136" s="199"/>
      <c r="U136" s="200"/>
      <c r="V136" s="200"/>
      <c r="W136" s="201"/>
      <c r="X136" s="201"/>
      <c r="Y136" s="201"/>
      <c r="Z136" s="202" t="str">
        <f t="shared" si="0"/>
        <v>RLOM Roofs</v>
      </c>
      <c r="AA136" s="172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</row>
    <row r="137" spans="1:40" ht="63" customHeight="1">
      <c r="A137" s="190">
        <v>2</v>
      </c>
      <c r="B137" s="190" t="s">
        <v>398</v>
      </c>
      <c r="C137" s="190">
        <v>28</v>
      </c>
      <c r="D137" s="191" t="s">
        <v>2925</v>
      </c>
      <c r="E137" s="192">
        <v>287</v>
      </c>
      <c r="F137" s="192" t="s">
        <v>2994</v>
      </c>
      <c r="G137" s="193"/>
      <c r="H137" s="212" t="str">
        <f>HYPERLINK("http://bsdd.buildingsmart.org/#concept/details/1BRKvpGP9AA9Mw$GCAbn0Q","1BRKvpGP9AA9Mw$GCAbn0Q")</f>
        <v>1BRKvpGP9AA9Mw$GCAbn0Q</v>
      </c>
      <c r="I137" s="120" t="s">
        <v>2995</v>
      </c>
      <c r="J137" s="195" t="s">
        <v>3260</v>
      </c>
      <c r="K137" s="193" t="s">
        <v>2996</v>
      </c>
      <c r="L137" s="248" t="s">
        <v>3261</v>
      </c>
      <c r="M137" s="210"/>
      <c r="N137" s="192" t="s">
        <v>1924</v>
      </c>
      <c r="O137" s="192" t="s">
        <v>1926</v>
      </c>
      <c r="P137" s="206" t="s">
        <v>1927</v>
      </c>
      <c r="Q137" s="199" t="s">
        <v>1034</v>
      </c>
      <c r="R137" s="207"/>
      <c r="S137" s="207"/>
      <c r="T137" s="199"/>
      <c r="U137" s="200"/>
      <c r="V137" s="200"/>
      <c r="W137" s="201"/>
      <c r="X137" s="201"/>
      <c r="Y137" s="201"/>
      <c r="Z137" s="202" t="str">
        <f t="shared" si="0"/>
        <v>RLOM Coverings</v>
      </c>
      <c r="AA137" s="172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</row>
    <row r="138" spans="1:40" ht="63" customHeight="1">
      <c r="A138" s="190">
        <v>2</v>
      </c>
      <c r="B138" s="190" t="s">
        <v>398</v>
      </c>
      <c r="C138" s="190">
        <v>28</v>
      </c>
      <c r="D138" s="191" t="s">
        <v>2925</v>
      </c>
      <c r="E138" s="192">
        <v>287</v>
      </c>
      <c r="F138" s="192" t="s">
        <v>2994</v>
      </c>
      <c r="G138" s="193"/>
      <c r="H138" s="212" t="str">
        <f>HYPERLINK("http://bsdd.buildingsmart.org/#concept/details/3vHRZWoT0Hsm00051Mm008","3vHRZWoT0Hsm00051Mm008")</f>
        <v>3vHRZWoT0Hsm00051Mm008</v>
      </c>
      <c r="I138" s="120" t="s">
        <v>3004</v>
      </c>
      <c r="J138" s="195" t="s">
        <v>3265</v>
      </c>
      <c r="K138" s="193" t="s">
        <v>3005</v>
      </c>
      <c r="L138" s="248" t="s">
        <v>3267</v>
      </c>
      <c r="M138" s="210"/>
      <c r="N138" s="192" t="s">
        <v>1924</v>
      </c>
      <c r="O138" s="192" t="s">
        <v>1926</v>
      </c>
      <c r="P138" s="206" t="s">
        <v>1927</v>
      </c>
      <c r="Q138" s="192" t="s">
        <v>2966</v>
      </c>
      <c r="R138" s="207" t="s">
        <v>2967</v>
      </c>
      <c r="S138" s="207" t="s">
        <v>3009</v>
      </c>
      <c r="T138" s="199"/>
      <c r="U138" s="200"/>
      <c r="V138" s="200"/>
      <c r="W138" s="201"/>
      <c r="X138" s="201"/>
      <c r="Y138" s="201"/>
      <c r="Z138" s="202" t="str">
        <f t="shared" si="0"/>
        <v>RLOM Railings</v>
      </c>
      <c r="AA138" s="172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</row>
    <row r="139" spans="1:40" ht="63" customHeight="1">
      <c r="A139" s="190">
        <v>2</v>
      </c>
      <c r="B139" s="190" t="s">
        <v>398</v>
      </c>
      <c r="C139" s="190">
        <v>28</v>
      </c>
      <c r="D139" s="191" t="s">
        <v>2925</v>
      </c>
      <c r="E139" s="192">
        <v>287</v>
      </c>
      <c r="F139" s="192" t="s">
        <v>2994</v>
      </c>
      <c r="G139" s="193"/>
      <c r="H139" s="212" t="str">
        <f>HYPERLINK("http://bsdd.buildingsmart.org/#concept/details/30Ez0HE6XAHQh6wJkRK6T$","30Ez0HE6XAHQh6wJkRK6T$")</f>
        <v>30Ez0HE6XAHQh6wJkRK6T$</v>
      </c>
      <c r="I139" s="120" t="s">
        <v>3017</v>
      </c>
      <c r="J139" s="195" t="s">
        <v>3269</v>
      </c>
      <c r="K139" s="193" t="s">
        <v>3018</v>
      </c>
      <c r="L139" s="248" t="s">
        <v>3270</v>
      </c>
      <c r="M139" s="210"/>
      <c r="N139" s="192" t="s">
        <v>1924</v>
      </c>
      <c r="O139" s="192" t="s">
        <v>1926</v>
      </c>
      <c r="P139" s="206" t="s">
        <v>1927</v>
      </c>
      <c r="Q139" s="192" t="s">
        <v>2966</v>
      </c>
      <c r="R139" s="207" t="s">
        <v>2967</v>
      </c>
      <c r="S139" s="207" t="s">
        <v>2969</v>
      </c>
      <c r="T139" s="199"/>
      <c r="U139" s="200"/>
      <c r="V139" s="200"/>
      <c r="W139" s="201"/>
      <c r="X139" s="201"/>
      <c r="Y139" s="201"/>
      <c r="Z139" s="202" t="str">
        <f t="shared" si="0"/>
        <v>RLOM Railings</v>
      </c>
      <c r="AA139" s="172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</row>
    <row r="140" spans="1:40" ht="27" customHeight="1">
      <c r="A140" s="190">
        <v>2</v>
      </c>
      <c r="B140" s="190" t="s">
        <v>398</v>
      </c>
      <c r="C140" s="190">
        <v>28</v>
      </c>
      <c r="D140" s="191" t="s">
        <v>2925</v>
      </c>
      <c r="E140" s="192">
        <v>289</v>
      </c>
      <c r="F140" s="192" t="s">
        <v>3027</v>
      </c>
      <c r="G140" s="193" t="s">
        <v>1949</v>
      </c>
      <c r="H140" s="212" t="str">
        <f>HYPERLINK("http://bsdd.buildingsmart.org/#concept/details/0mzPWBsGr4LuMN0xnPPUd7","0mzPWBsGr4LuMN0xnPPUd7")</f>
        <v>0mzPWBsGr4LuMN0xnPPUd7</v>
      </c>
      <c r="I140" s="119" t="s">
        <v>3034</v>
      </c>
      <c r="J140" s="209" t="s">
        <v>3272</v>
      </c>
      <c r="K140" s="206" t="s">
        <v>3036</v>
      </c>
      <c r="L140" s="248" t="s">
        <v>3273</v>
      </c>
      <c r="M140" s="210"/>
      <c r="N140" s="192" t="s">
        <v>2944</v>
      </c>
      <c r="O140" s="192" t="s">
        <v>2945</v>
      </c>
      <c r="P140" s="206" t="s">
        <v>2946</v>
      </c>
      <c r="Q140" s="199" t="s">
        <v>928</v>
      </c>
      <c r="R140" s="199" t="s">
        <v>973</v>
      </c>
      <c r="S140" s="207" t="s">
        <v>3038</v>
      </c>
      <c r="T140" s="199"/>
      <c r="U140" s="201"/>
      <c r="V140" s="200"/>
      <c r="W140" s="201"/>
      <c r="X140" s="201"/>
      <c r="Y140" s="201"/>
      <c r="Z140" s="202" t="str">
        <f t="shared" si="0"/>
        <v>RLOM Slabs</v>
      </c>
      <c r="AA140" s="172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</row>
    <row r="141" spans="1:40" ht="21.75" customHeight="1">
      <c r="A141" s="190">
        <v>2</v>
      </c>
      <c r="B141" s="190" t="s">
        <v>398</v>
      </c>
      <c r="C141" s="190">
        <v>28</v>
      </c>
      <c r="D141" s="191" t="s">
        <v>2925</v>
      </c>
      <c r="E141" s="192">
        <v>289</v>
      </c>
      <c r="F141" s="192" t="s">
        <v>3027</v>
      </c>
      <c r="G141" s="193" t="s">
        <v>1949</v>
      </c>
      <c r="H141" s="212" t="str">
        <f>HYPERLINK("http://bsdd.buildingsmart.org/#concept/details/3vHI$ioT0Hsm00051Mm008","3vHI$ioT0Hsm00051Mm008")</f>
        <v>3vHI$ioT0Hsm00051Mm008</v>
      </c>
      <c r="I141" s="119" t="s">
        <v>3040</v>
      </c>
      <c r="J141" s="209" t="s">
        <v>3279</v>
      </c>
      <c r="K141" s="206" t="s">
        <v>3040</v>
      </c>
      <c r="L141" s="248" t="s">
        <v>3280</v>
      </c>
      <c r="M141" s="210"/>
      <c r="N141" s="192" t="s">
        <v>3042</v>
      </c>
      <c r="O141" s="192" t="s">
        <v>3044</v>
      </c>
      <c r="P141" s="206" t="s">
        <v>3046</v>
      </c>
      <c r="Q141" s="199" t="s">
        <v>2933</v>
      </c>
      <c r="R141" s="207"/>
      <c r="S141" s="207"/>
      <c r="T141" s="199"/>
      <c r="U141" s="201"/>
      <c r="V141" s="200"/>
      <c r="W141" s="201"/>
      <c r="X141" s="201"/>
      <c r="Y141" s="201"/>
      <c r="Z141" s="202" t="str">
        <f t="shared" si="0"/>
        <v>RLOM Stairs</v>
      </c>
      <c r="AA141" s="172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</row>
    <row r="142" spans="1:40" ht="21.75" customHeight="1">
      <c r="A142" s="190">
        <v>2</v>
      </c>
      <c r="B142" s="190" t="s">
        <v>398</v>
      </c>
      <c r="C142" s="190">
        <v>28</v>
      </c>
      <c r="D142" s="191" t="s">
        <v>2925</v>
      </c>
      <c r="E142" s="192">
        <v>289</v>
      </c>
      <c r="F142" s="192" t="s">
        <v>3027</v>
      </c>
      <c r="G142" s="193" t="s">
        <v>1949</v>
      </c>
      <c r="H142" s="212" t="str">
        <f>HYPERLINK("http://bsdd.buildingsmart.org/#concept/details/0lQ3Z0cp9A5x7MoXZ$4MQj","0lQ3Z0cp9A5x7MoXZ$4MQj")</f>
        <v>0lQ3Z0cp9A5x7MoXZ$4MQj</v>
      </c>
      <c r="I142" s="119" t="s">
        <v>3054</v>
      </c>
      <c r="J142" s="209" t="s">
        <v>3284</v>
      </c>
      <c r="K142" s="206" t="s">
        <v>3055</v>
      </c>
      <c r="L142" s="248" t="s">
        <v>3285</v>
      </c>
      <c r="M142" s="210"/>
      <c r="N142" s="192" t="s">
        <v>3042</v>
      </c>
      <c r="O142" s="192" t="s">
        <v>3044</v>
      </c>
      <c r="P142" s="206" t="s">
        <v>3046</v>
      </c>
      <c r="Q142" s="199" t="s">
        <v>2933</v>
      </c>
      <c r="R142" s="192" t="s">
        <v>3059</v>
      </c>
      <c r="S142" s="207" t="s">
        <v>3060</v>
      </c>
      <c r="T142" s="199"/>
      <c r="U142" s="201"/>
      <c r="V142" s="200"/>
      <c r="W142" s="201"/>
      <c r="X142" s="201"/>
      <c r="Y142" s="201"/>
      <c r="Z142" s="202" t="str">
        <f t="shared" si="0"/>
        <v>RLOM Stairs</v>
      </c>
      <c r="AA142" s="172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</row>
    <row r="143" spans="1:40" ht="21.75" customHeight="1">
      <c r="A143" s="190">
        <v>2</v>
      </c>
      <c r="B143" s="190" t="s">
        <v>398</v>
      </c>
      <c r="C143" s="190">
        <v>29</v>
      </c>
      <c r="D143" s="191" t="s">
        <v>3064</v>
      </c>
      <c r="E143" s="192">
        <v>290</v>
      </c>
      <c r="F143" s="192"/>
      <c r="G143" s="221"/>
      <c r="H143" s="212" t="str">
        <f>HYPERLINK("http://bsdd.buildingsmart.org/#concept/details/3vHMLmoT0Hsm00051Mm008","3vHMLmoT0Hsm00051Mm008")</f>
        <v>3vHMLmoT0Hsm00051Mm008</v>
      </c>
      <c r="I143" s="122" t="s">
        <v>3075</v>
      </c>
      <c r="J143" s="195" t="s">
        <v>3289</v>
      </c>
      <c r="K143" s="193" t="s">
        <v>3075</v>
      </c>
      <c r="L143" s="248" t="s">
        <v>3290</v>
      </c>
      <c r="M143" s="210"/>
      <c r="N143" s="192" t="s">
        <v>3077</v>
      </c>
      <c r="O143" s="192" t="s">
        <v>3079</v>
      </c>
      <c r="P143" s="206" t="s">
        <v>3083</v>
      </c>
      <c r="Q143" s="199" t="s">
        <v>3084</v>
      </c>
      <c r="R143" s="207"/>
      <c r="S143" s="207"/>
      <c r="T143" s="199"/>
      <c r="U143" s="201"/>
      <c r="V143" s="200"/>
      <c r="W143" s="201"/>
      <c r="X143" s="201"/>
      <c r="Y143" s="201"/>
      <c r="Z143" s="202" t="str">
        <f t="shared" si="0"/>
        <v>RLOM ReinforcingBars</v>
      </c>
      <c r="AA143" s="172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</row>
    <row r="144" spans="1:40" ht="21.75" customHeight="1">
      <c r="A144" s="190">
        <v>2</v>
      </c>
      <c r="B144" s="190" t="s">
        <v>398</v>
      </c>
      <c r="C144" s="190">
        <v>29</v>
      </c>
      <c r="D144" s="191" t="s">
        <v>3064</v>
      </c>
      <c r="E144" s="192">
        <v>290</v>
      </c>
      <c r="F144" s="192"/>
      <c r="G144" s="221"/>
      <c r="H144" s="212" t="str">
        <f>HYPERLINK("http://bsdd.buildingsmart.org/#concept/details/3vHItQoT0Hsm00051Mm008","3vHItQoT0Hsm00051Mm008")</f>
        <v>3vHItQoT0Hsm00051Mm008</v>
      </c>
      <c r="I144" s="122" t="s">
        <v>3085</v>
      </c>
      <c r="J144" s="195" t="s">
        <v>3293</v>
      </c>
      <c r="K144" s="193" t="s">
        <v>3085</v>
      </c>
      <c r="L144" s="248" t="s">
        <v>3294</v>
      </c>
      <c r="M144" s="210"/>
      <c r="N144" s="192" t="s">
        <v>3077</v>
      </c>
      <c r="O144" s="192" t="s">
        <v>3079</v>
      </c>
      <c r="P144" s="206" t="s">
        <v>3083</v>
      </c>
      <c r="Q144" s="199" t="s">
        <v>3090</v>
      </c>
      <c r="R144" s="207"/>
      <c r="S144" s="207"/>
      <c r="T144" s="199"/>
      <c r="U144" s="201"/>
      <c r="V144" s="200"/>
      <c r="W144" s="201"/>
      <c r="X144" s="201"/>
      <c r="Y144" s="201"/>
      <c r="Z144" s="202" t="str">
        <f t="shared" si="0"/>
        <v>RLOM ReinforcingMeshs</v>
      </c>
      <c r="AA144" s="172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</row>
    <row r="145" spans="1:40" ht="54.75" customHeight="1">
      <c r="A145" s="190">
        <v>2</v>
      </c>
      <c r="B145" s="190" t="s">
        <v>398</v>
      </c>
      <c r="C145" s="190">
        <v>29</v>
      </c>
      <c r="D145" s="191" t="s">
        <v>3064</v>
      </c>
      <c r="E145" s="192">
        <v>290</v>
      </c>
      <c r="F145" s="192"/>
      <c r="G145" s="191"/>
      <c r="H145" s="222" t="str">
        <f>HYPERLINK("http://bsdd.buildingsmart.org/#concept/details/1NHVWMKi50FgFqViJAbeDK","1NHVWMKi50FgFqViJAbeDK")</f>
        <v>1NHVWMKi50FgFqViJAbeDK</v>
      </c>
      <c r="I145" s="123" t="s">
        <v>4901</v>
      </c>
      <c r="J145" s="195" t="s">
        <v>3301</v>
      </c>
      <c r="K145" s="191" t="s">
        <v>3117</v>
      </c>
      <c r="L145" s="249" t="s">
        <v>3302</v>
      </c>
      <c r="M145" s="203" t="s">
        <v>3119</v>
      </c>
      <c r="N145" s="199"/>
      <c r="O145" s="203"/>
      <c r="P145" s="206"/>
      <c r="Q145" s="199" t="s">
        <v>847</v>
      </c>
      <c r="R145" s="207" t="s">
        <v>3120</v>
      </c>
      <c r="S145" s="207" t="s">
        <v>3121</v>
      </c>
      <c r="T145" s="207"/>
      <c r="U145" s="223"/>
      <c r="V145" s="200"/>
      <c r="W145" s="201"/>
      <c r="X145" s="201"/>
      <c r="Y145" s="201"/>
      <c r="Z145" s="202" t="str">
        <f t="shared" si="0"/>
        <v>RLOM BuildingElementProxys</v>
      </c>
      <c r="AA145" s="172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</row>
    <row r="146" spans="1:40" ht="18" customHeight="1">
      <c r="A146" s="190">
        <v>3</v>
      </c>
      <c r="B146" s="190" t="s">
        <v>538</v>
      </c>
      <c r="C146" s="190">
        <v>30</v>
      </c>
      <c r="D146" s="191" t="s">
        <v>541</v>
      </c>
      <c r="E146" s="192">
        <v>302</v>
      </c>
      <c r="F146" s="192" t="s">
        <v>543</v>
      </c>
      <c r="G146" s="193" t="s">
        <v>546</v>
      </c>
      <c r="H146" s="222" t="str">
        <f>HYPERLINK("http://bsdd.buildingsmart.org/#concept/details/3vHSO0oT0Hsm00051Mm008","3vHSO0oT0Hsm00051Mm008")</f>
        <v>3vHSO0oT0Hsm00051Mm008</v>
      </c>
      <c r="I146" s="122" t="s">
        <v>549</v>
      </c>
      <c r="J146" s="195" t="s">
        <v>3305</v>
      </c>
      <c r="K146" s="191" t="s">
        <v>550</v>
      </c>
      <c r="L146" s="249" t="s">
        <v>3306</v>
      </c>
      <c r="M146" s="198"/>
      <c r="N146" s="203" t="s">
        <v>565</v>
      </c>
      <c r="O146" s="199" t="s">
        <v>566</v>
      </c>
      <c r="P146" s="191" t="s">
        <v>567</v>
      </c>
      <c r="Q146" s="203" t="s">
        <v>569</v>
      </c>
      <c r="R146" s="203" t="s">
        <v>571</v>
      </c>
      <c r="S146" s="203" t="s">
        <v>573</v>
      </c>
      <c r="T146" s="203"/>
      <c r="U146" s="198"/>
      <c r="V146" s="198"/>
      <c r="W146" s="198"/>
      <c r="X146" s="198"/>
      <c r="Y146" s="198"/>
      <c r="Z146" s="202" t="str">
        <f t="shared" si="0"/>
        <v>RLOM PipeFittings</v>
      </c>
      <c r="AA146" s="172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</row>
    <row r="147" spans="1:40" ht="18" customHeight="1">
      <c r="A147" s="190">
        <v>3</v>
      </c>
      <c r="B147" s="190" t="s">
        <v>538</v>
      </c>
      <c r="C147" s="190">
        <v>30</v>
      </c>
      <c r="D147" s="191" t="s">
        <v>541</v>
      </c>
      <c r="E147" s="192">
        <v>302</v>
      </c>
      <c r="F147" s="192" t="s">
        <v>543</v>
      </c>
      <c r="G147" s="193" t="s">
        <v>546</v>
      </c>
      <c r="H147" s="208" t="str">
        <f>HYPERLINK("http://bsdd.buildingsmart.org/#concept/details/03Te2gGVf08giGetx6rtj3","03Te2gGVf08giGetx6rtj3")</f>
        <v>03Te2gGVf08giGetx6rtj3</v>
      </c>
      <c r="I147" s="119" t="s">
        <v>577</v>
      </c>
      <c r="J147" s="209" t="s">
        <v>3311</v>
      </c>
      <c r="K147" s="206" t="s">
        <v>631</v>
      </c>
      <c r="L147" s="247" t="s">
        <v>3312</v>
      </c>
      <c r="M147" s="198"/>
      <c r="N147" s="199" t="s">
        <v>633</v>
      </c>
      <c r="O147" s="203" t="s">
        <v>635</v>
      </c>
      <c r="P147" s="206" t="s">
        <v>636</v>
      </c>
      <c r="Q147" s="203" t="s">
        <v>652</v>
      </c>
      <c r="R147" s="224" t="str">
        <f>HYPERLINK("http://www.buildingsmart-tech.org/ifc/IFC4/final/html/schema/ifcsharedcomponentelements/lexical/ifcdiscreteaccessorytype.htm","IfcDiscreteAccessoryTypeEnum")</f>
        <v>IfcDiscreteAccessoryTypeEnum</v>
      </c>
      <c r="S147" s="203" t="s">
        <v>707</v>
      </c>
      <c r="T147" s="203"/>
      <c r="U147" s="198"/>
      <c r="V147" s="198"/>
      <c r="W147" s="196"/>
      <c r="X147" s="196"/>
      <c r="Y147" s="196"/>
      <c r="Z147" s="202" t="str">
        <f t="shared" si="0"/>
        <v>RLOM DiscreteAccessorys</v>
      </c>
      <c r="AA147" s="172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</row>
    <row r="148" spans="1:40" ht="18" customHeight="1">
      <c r="A148" s="190">
        <v>3</v>
      </c>
      <c r="B148" s="190" t="s">
        <v>538</v>
      </c>
      <c r="C148" s="190">
        <v>30</v>
      </c>
      <c r="D148" s="191" t="s">
        <v>541</v>
      </c>
      <c r="E148" s="192">
        <v>302</v>
      </c>
      <c r="F148" s="192" t="s">
        <v>543</v>
      </c>
      <c r="G148" s="193" t="s">
        <v>546</v>
      </c>
      <c r="H148" s="208" t="str">
        <f>HYPERLINK("http://bsdd.buildingsmart.org/#concept/details/3vHTbqoT0Hsm00051Mm008","3vHTbqoT0Hsm00051Mm008")</f>
        <v>3vHTbqoT0Hsm00051Mm008</v>
      </c>
      <c r="I148" s="119" t="s">
        <v>717</v>
      </c>
      <c r="J148" s="209" t="s">
        <v>3321</v>
      </c>
      <c r="K148" s="206"/>
      <c r="L148" s="247" t="s">
        <v>3322</v>
      </c>
      <c r="M148" s="198"/>
      <c r="N148" s="203" t="s">
        <v>722</v>
      </c>
      <c r="O148" s="199" t="s">
        <v>724</v>
      </c>
      <c r="P148" s="191" t="s">
        <v>726</v>
      </c>
      <c r="Q148" s="203" t="s">
        <v>569</v>
      </c>
      <c r="R148" s="203" t="s">
        <v>571</v>
      </c>
      <c r="S148" s="203" t="s">
        <v>728</v>
      </c>
      <c r="T148" s="203"/>
      <c r="U148" s="198"/>
      <c r="V148" s="198"/>
      <c r="W148" s="198"/>
      <c r="X148" s="198"/>
      <c r="Y148" s="198"/>
      <c r="Z148" s="202" t="str">
        <f t="shared" si="0"/>
        <v>RLOM PipeFittings</v>
      </c>
      <c r="AA148" s="172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</row>
    <row r="149" spans="1:40" ht="18" customHeight="1">
      <c r="A149" s="190">
        <v>3</v>
      </c>
      <c r="B149" s="190" t="s">
        <v>538</v>
      </c>
      <c r="C149" s="190">
        <v>30</v>
      </c>
      <c r="D149" s="191" t="s">
        <v>541</v>
      </c>
      <c r="E149" s="192">
        <v>302</v>
      </c>
      <c r="F149" s="192" t="s">
        <v>543</v>
      </c>
      <c r="G149" s="193" t="s">
        <v>546</v>
      </c>
      <c r="H149" s="208" t="str">
        <f>HYPERLINK("http://bsdd.buildingsmart.org/#concept/details/3vHTuaoT0Hsm00051Mm008","3vHTuaoT0Hsm00051Mm008")</f>
        <v>3vHTuaoT0Hsm00051Mm008</v>
      </c>
      <c r="I149" s="119" t="s">
        <v>738</v>
      </c>
      <c r="J149" s="209" t="s">
        <v>3324</v>
      </c>
      <c r="K149" s="206" t="s">
        <v>740</v>
      </c>
      <c r="L149" s="247" t="s">
        <v>3326</v>
      </c>
      <c r="M149" s="198"/>
      <c r="N149" s="199" t="s">
        <v>633</v>
      </c>
      <c r="O149" s="203" t="s">
        <v>635</v>
      </c>
      <c r="P149" s="206" t="s">
        <v>636</v>
      </c>
      <c r="Q149" s="203" t="s">
        <v>652</v>
      </c>
      <c r="R149" s="224" t="str">
        <f>HYPERLINK("http://www.buildingsmart-tech.org/ifc/IFC4/final/html/schema/ifcsharedcomponentelements/lexical/ifcdiscreteaccessorytype.htm","IfcDiscreteAccessoryTypeEnum")</f>
        <v>IfcDiscreteAccessoryTypeEnum</v>
      </c>
      <c r="S149" s="203" t="s">
        <v>768</v>
      </c>
      <c r="T149" s="203"/>
      <c r="U149" s="198"/>
      <c r="V149" s="198"/>
      <c r="W149" s="196"/>
      <c r="X149" s="196"/>
      <c r="Y149" s="196"/>
      <c r="Z149" s="202" t="str">
        <f t="shared" si="0"/>
        <v>RLOM DiscreteAccessorys</v>
      </c>
      <c r="AA149" s="172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</row>
    <row r="150" spans="1:40" ht="24" customHeight="1">
      <c r="A150" s="190">
        <v>3</v>
      </c>
      <c r="B150" s="190" t="s">
        <v>538</v>
      </c>
      <c r="C150" s="190">
        <v>30</v>
      </c>
      <c r="D150" s="191" t="s">
        <v>541</v>
      </c>
      <c r="E150" s="192">
        <v>302</v>
      </c>
      <c r="F150" s="192" t="s">
        <v>543</v>
      </c>
      <c r="G150" s="193" t="s">
        <v>546</v>
      </c>
      <c r="H150" s="208" t="str">
        <f>HYPERLINK("http://bsdd.buildingsmart.org/#concept/details/0eZIE3XjrEIO8cAAJypaPL","0eZIE3XjrEIO8cAAJypaPL")</f>
        <v>0eZIE3XjrEIO8cAAJypaPL</v>
      </c>
      <c r="I150" s="119" t="s">
        <v>4902</v>
      </c>
      <c r="J150" s="209" t="s">
        <v>3329</v>
      </c>
      <c r="K150" s="206" t="s">
        <v>784</v>
      </c>
      <c r="L150" s="247" t="s">
        <v>3330</v>
      </c>
      <c r="M150" s="198"/>
      <c r="N150" s="203" t="s">
        <v>786</v>
      </c>
      <c r="O150" s="199" t="s">
        <v>787</v>
      </c>
      <c r="P150" s="191" t="s">
        <v>788</v>
      </c>
      <c r="Q150" s="203" t="s">
        <v>789</v>
      </c>
      <c r="R150" s="203" t="s">
        <v>790</v>
      </c>
      <c r="S150" s="203" t="s">
        <v>791</v>
      </c>
      <c r="T150" s="203"/>
      <c r="U150" s="198"/>
      <c r="V150" s="198"/>
      <c r="W150" s="198"/>
      <c r="X150" s="198"/>
      <c r="Y150" s="198"/>
      <c r="Z150" s="202" t="str">
        <f t="shared" si="0"/>
        <v>RLOM DistributionChamberElements</v>
      </c>
      <c r="AA150" s="172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</row>
    <row r="151" spans="1:40" ht="18" customHeight="1">
      <c r="A151" s="190">
        <v>3</v>
      </c>
      <c r="B151" s="190" t="s">
        <v>538</v>
      </c>
      <c r="C151" s="190">
        <v>30</v>
      </c>
      <c r="D151" s="191" t="s">
        <v>541</v>
      </c>
      <c r="E151" s="192">
        <v>302</v>
      </c>
      <c r="F151" s="192" t="s">
        <v>543</v>
      </c>
      <c r="G151" s="193" t="s">
        <v>546</v>
      </c>
      <c r="H151" s="222" t="str">
        <f>HYPERLINK("http://bsdd.buildingsmart.org/#concept/details/33_Cp8Siz5Tvoj9lyNDw_i","33_Cp8Siz5Tvoj9lyNDw_i")</f>
        <v>33_Cp8Siz5Tvoj9lyNDw_i</v>
      </c>
      <c r="I151" s="122" t="s">
        <v>792</v>
      </c>
      <c r="J151" s="195" t="s">
        <v>3333</v>
      </c>
      <c r="K151" s="191" t="s">
        <v>793</v>
      </c>
      <c r="L151" s="249" t="s">
        <v>3334</v>
      </c>
      <c r="M151" s="198"/>
      <c r="N151" s="203" t="s">
        <v>565</v>
      </c>
      <c r="O151" s="199" t="s">
        <v>566</v>
      </c>
      <c r="P151" s="191" t="s">
        <v>794</v>
      </c>
      <c r="Q151" s="203" t="s">
        <v>569</v>
      </c>
      <c r="R151" s="203" t="s">
        <v>571</v>
      </c>
      <c r="S151" s="203" t="s">
        <v>795</v>
      </c>
      <c r="T151" s="203" t="s">
        <v>796</v>
      </c>
      <c r="U151" s="198"/>
      <c r="V151" s="198"/>
      <c r="W151" s="198"/>
      <c r="X151" s="198"/>
      <c r="Y151" s="198"/>
      <c r="Z151" s="202" t="str">
        <f t="shared" si="0"/>
        <v>RLOM PipeFittings</v>
      </c>
      <c r="AA151" s="172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</row>
    <row r="152" spans="1:40" ht="18" customHeight="1">
      <c r="A152" s="190">
        <v>3</v>
      </c>
      <c r="B152" s="190" t="s">
        <v>538</v>
      </c>
      <c r="C152" s="190">
        <v>30</v>
      </c>
      <c r="D152" s="191" t="s">
        <v>541</v>
      </c>
      <c r="E152" s="192">
        <v>302</v>
      </c>
      <c r="F152" s="192" t="s">
        <v>543</v>
      </c>
      <c r="G152" s="193" t="s">
        <v>546</v>
      </c>
      <c r="H152" s="222" t="str">
        <f>HYPERLINK("http://bsdd.buildingsmart.org/#concept/details/3vHQHyoT0Hsm00051Mm008","3vHQHyoT0Hsm00051Mm008")</f>
        <v>3vHQHyoT0Hsm00051Mm008</v>
      </c>
      <c r="I152" s="119" t="s">
        <v>806</v>
      </c>
      <c r="J152" s="209" t="s">
        <v>3336</v>
      </c>
      <c r="K152" s="206" t="s">
        <v>807</v>
      </c>
      <c r="L152" s="249" t="s">
        <v>3338</v>
      </c>
      <c r="M152" s="198"/>
      <c r="N152" s="203" t="s">
        <v>722</v>
      </c>
      <c r="O152" s="199" t="s">
        <v>724</v>
      </c>
      <c r="P152" s="191" t="s">
        <v>726</v>
      </c>
      <c r="Q152" s="192" t="s">
        <v>809</v>
      </c>
      <c r="R152" s="203" t="s">
        <v>810</v>
      </c>
      <c r="S152" s="203" t="s">
        <v>811</v>
      </c>
      <c r="T152" s="203"/>
      <c r="U152" s="198"/>
      <c r="V152" s="198"/>
      <c r="W152" s="198"/>
      <c r="X152" s="198"/>
      <c r="Y152" s="198"/>
      <c r="Z152" s="202" t="str">
        <f t="shared" si="0"/>
        <v>RLOM PipeSegments</v>
      </c>
      <c r="AA152" s="172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</row>
    <row r="153" spans="1:40" ht="27" customHeight="1">
      <c r="A153" s="190">
        <v>3</v>
      </c>
      <c r="B153" s="190" t="s">
        <v>538</v>
      </c>
      <c r="C153" s="190">
        <v>30</v>
      </c>
      <c r="D153" s="191" t="s">
        <v>541</v>
      </c>
      <c r="E153" s="192">
        <v>302</v>
      </c>
      <c r="F153" s="192" t="s">
        <v>543</v>
      </c>
      <c r="G153" s="193" t="s">
        <v>546</v>
      </c>
      <c r="H153" s="222" t="str">
        <f>HYPERLINK("http://bsdd.buildingsmart.org/#concept/details/3vHZ3MoT0Hsm00051Mm008","3vHZ3MoT0Hsm00051Mm008")</f>
        <v>3vHZ3MoT0Hsm00051Mm008</v>
      </c>
      <c r="I153" s="119" t="s">
        <v>817</v>
      </c>
      <c r="J153" s="209" t="s">
        <v>3340</v>
      </c>
      <c r="K153" s="206" t="s">
        <v>819</v>
      </c>
      <c r="L153" s="249" t="s">
        <v>3341</v>
      </c>
      <c r="M153" s="198"/>
      <c r="N153" s="203" t="s">
        <v>821</v>
      </c>
      <c r="O153" s="199" t="s">
        <v>822</v>
      </c>
      <c r="P153" s="191" t="s">
        <v>823</v>
      </c>
      <c r="Q153" s="192" t="s">
        <v>809</v>
      </c>
      <c r="R153" s="203" t="s">
        <v>810</v>
      </c>
      <c r="S153" s="203" t="s">
        <v>824</v>
      </c>
      <c r="T153" s="203"/>
      <c r="U153" s="198"/>
      <c r="V153" s="198"/>
      <c r="W153" s="198"/>
      <c r="X153" s="198"/>
      <c r="Y153" s="198"/>
      <c r="Z153" s="202" t="str">
        <f t="shared" si="0"/>
        <v>RLOM PipeSegments</v>
      </c>
      <c r="AA153" s="172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</row>
    <row r="154" spans="1:40" ht="24" customHeight="1">
      <c r="A154" s="190">
        <v>3</v>
      </c>
      <c r="B154" s="190" t="s">
        <v>538</v>
      </c>
      <c r="C154" s="190">
        <v>30</v>
      </c>
      <c r="D154" s="191" t="s">
        <v>541</v>
      </c>
      <c r="E154" s="192">
        <v>302</v>
      </c>
      <c r="F154" s="192" t="s">
        <v>543</v>
      </c>
      <c r="G154" s="193" t="s">
        <v>546</v>
      </c>
      <c r="H154" s="208" t="str">
        <f>HYPERLINK("http://bsdd.buildingsmart.org/#concept/details/2IIWt44wrCUful2IrP_hqz","2IIWt44wrCUful2IrP_hqz")</f>
        <v>2IIWt44wrCUful2IrP_hqz</v>
      </c>
      <c r="I154" s="119" t="s">
        <v>826</v>
      </c>
      <c r="J154" s="209" t="s">
        <v>3344</v>
      </c>
      <c r="K154" s="206"/>
      <c r="L154" s="247" t="s">
        <v>3345</v>
      </c>
      <c r="M154" s="198"/>
      <c r="N154" s="203" t="s">
        <v>786</v>
      </c>
      <c r="O154" s="199" t="s">
        <v>787</v>
      </c>
      <c r="P154" s="191" t="s">
        <v>828</v>
      </c>
      <c r="Q154" s="203" t="s">
        <v>789</v>
      </c>
      <c r="R154" s="203" t="s">
        <v>790</v>
      </c>
      <c r="S154" s="203" t="s">
        <v>791</v>
      </c>
      <c r="T154" s="203"/>
      <c r="U154" s="198"/>
      <c r="V154" s="198"/>
      <c r="W154" s="198"/>
      <c r="X154" s="198"/>
      <c r="Y154" s="198"/>
      <c r="Z154" s="202" t="str">
        <f t="shared" si="0"/>
        <v>RLOM DistributionChamberElements</v>
      </c>
      <c r="AA154" s="172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</row>
    <row r="155" spans="1:40" ht="24" customHeight="1">
      <c r="A155" s="190">
        <v>3</v>
      </c>
      <c r="B155" s="190" t="s">
        <v>538</v>
      </c>
      <c r="C155" s="190">
        <v>30</v>
      </c>
      <c r="D155" s="191" t="s">
        <v>541</v>
      </c>
      <c r="E155" s="192">
        <v>302</v>
      </c>
      <c r="F155" s="192" t="s">
        <v>543</v>
      </c>
      <c r="G155" s="193" t="s">
        <v>546</v>
      </c>
      <c r="H155" s="208" t="str">
        <f>HYPERLINK("http://bsdd.buildingsmart.org/#concept/details/1PPBvhCWXA9An4LHI92v0E","1PPBvhCWXA9An4LHI92v0E")</f>
        <v>1PPBvhCWXA9An4LHI92v0E</v>
      </c>
      <c r="I155" s="119" t="s">
        <v>829</v>
      </c>
      <c r="J155" s="209" t="s">
        <v>3350</v>
      </c>
      <c r="K155" s="206" t="s">
        <v>830</v>
      </c>
      <c r="L155" s="247" t="s">
        <v>3352</v>
      </c>
      <c r="M155" s="198"/>
      <c r="N155" s="203" t="s">
        <v>786</v>
      </c>
      <c r="O155" s="199" t="s">
        <v>787</v>
      </c>
      <c r="P155" s="191" t="s">
        <v>828</v>
      </c>
      <c r="Q155" s="203" t="s">
        <v>789</v>
      </c>
      <c r="R155" s="203" t="s">
        <v>790</v>
      </c>
      <c r="S155" s="203" t="s">
        <v>791</v>
      </c>
      <c r="T155" s="203"/>
      <c r="U155" s="198"/>
      <c r="V155" s="198"/>
      <c r="W155" s="198"/>
      <c r="X155" s="198"/>
      <c r="Y155" s="198"/>
      <c r="Z155" s="202" t="str">
        <f t="shared" si="0"/>
        <v>RLOM DistributionChamberElements</v>
      </c>
      <c r="AA155" s="172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</row>
    <row r="156" spans="1:40" ht="18" customHeight="1">
      <c r="A156" s="190">
        <v>3</v>
      </c>
      <c r="B156" s="190" t="s">
        <v>538</v>
      </c>
      <c r="C156" s="190">
        <v>30</v>
      </c>
      <c r="D156" s="191" t="s">
        <v>541</v>
      </c>
      <c r="E156" s="192">
        <v>302</v>
      </c>
      <c r="F156" s="192" t="s">
        <v>543</v>
      </c>
      <c r="G156" s="193" t="s">
        <v>546</v>
      </c>
      <c r="H156" s="208" t="str">
        <f>HYPERLINK("http://bsdd.buildingsmart.org/#concept/details/1mvvLDIVDEFOKOfUsbIiJI","1mvvLDIVDEFOKOfUsbIiJI")</f>
        <v>1mvvLDIVDEFOKOfUsbIiJI</v>
      </c>
      <c r="I156" s="119" t="s">
        <v>837</v>
      </c>
      <c r="J156" s="209" t="s">
        <v>3354</v>
      </c>
      <c r="K156" s="206"/>
      <c r="L156" s="247" t="s">
        <v>3355</v>
      </c>
      <c r="M156" s="198"/>
      <c r="N156" s="199" t="s">
        <v>842</v>
      </c>
      <c r="O156" s="199" t="s">
        <v>844</v>
      </c>
      <c r="P156" s="206" t="s">
        <v>860</v>
      </c>
      <c r="Q156" s="203" t="s">
        <v>789</v>
      </c>
      <c r="R156" s="203" t="s">
        <v>790</v>
      </c>
      <c r="S156" s="199" t="s">
        <v>877</v>
      </c>
      <c r="T156" s="203"/>
      <c r="U156" s="198"/>
      <c r="V156" s="198"/>
      <c r="W156" s="196"/>
      <c r="X156" s="196"/>
      <c r="Y156" s="196"/>
      <c r="Z156" s="202" t="str">
        <f t="shared" si="0"/>
        <v>RLOM DistributionChamberElements</v>
      </c>
      <c r="AA156" s="172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</row>
    <row r="157" spans="1:40" ht="18" customHeight="1">
      <c r="A157" s="190">
        <v>3</v>
      </c>
      <c r="B157" s="190" t="s">
        <v>538</v>
      </c>
      <c r="C157" s="190">
        <v>30</v>
      </c>
      <c r="D157" s="191" t="s">
        <v>541</v>
      </c>
      <c r="E157" s="192">
        <v>302</v>
      </c>
      <c r="F157" s="192" t="s">
        <v>543</v>
      </c>
      <c r="G157" s="193" t="s">
        <v>546</v>
      </c>
      <c r="H157" s="222" t="str">
        <f>HYPERLINK("http://bsdd.buildingsmart.org/#concept/details/3vHKVyoT0Hsm00051Mm008","3vHKVyoT0Hsm00051Mm008")</f>
        <v>3vHKVyoT0Hsm00051Mm008</v>
      </c>
      <c r="I157" s="122" t="s">
        <v>883</v>
      </c>
      <c r="J157" s="195" t="s">
        <v>3358</v>
      </c>
      <c r="K157" s="191" t="s">
        <v>886</v>
      </c>
      <c r="L157" s="249" t="s">
        <v>3359</v>
      </c>
      <c r="M157" s="198"/>
      <c r="N157" s="203" t="s">
        <v>565</v>
      </c>
      <c r="O157" s="199" t="s">
        <v>566</v>
      </c>
      <c r="P157" s="191" t="s">
        <v>794</v>
      </c>
      <c r="Q157" s="203" t="s">
        <v>569</v>
      </c>
      <c r="R157" s="203" t="s">
        <v>571</v>
      </c>
      <c r="S157" s="203" t="s">
        <v>795</v>
      </c>
      <c r="T157" s="203" t="s">
        <v>910</v>
      </c>
      <c r="U157" s="198"/>
      <c r="V157" s="198"/>
      <c r="W157" s="198"/>
      <c r="X157" s="198"/>
      <c r="Y157" s="198"/>
      <c r="Z157" s="202" t="str">
        <f t="shared" si="0"/>
        <v>RLOM PipeFittings</v>
      </c>
      <c r="AA157" s="172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</row>
    <row r="158" spans="1:40" ht="24" customHeight="1">
      <c r="A158" s="190">
        <v>3</v>
      </c>
      <c r="B158" s="190" t="s">
        <v>538</v>
      </c>
      <c r="C158" s="190">
        <v>30</v>
      </c>
      <c r="D158" s="191" t="s">
        <v>541</v>
      </c>
      <c r="E158" s="192">
        <v>304</v>
      </c>
      <c r="F158" s="192" t="s">
        <v>913</v>
      </c>
      <c r="G158" s="193" t="s">
        <v>546</v>
      </c>
      <c r="H158" s="208" t="str">
        <f>HYPERLINK("http://bsdd.buildingsmart.org/#concept/details/1tGdd84wH87heHv9AmS$7L","1tGdd84wH87heHv9AmS$7L")</f>
        <v>1tGdd84wH87heHv9AmS$7L</v>
      </c>
      <c r="I158" s="119" t="s">
        <v>4903</v>
      </c>
      <c r="J158" s="209" t="s">
        <v>3360</v>
      </c>
      <c r="K158" s="206" t="s">
        <v>919</v>
      </c>
      <c r="L158" s="247" t="s">
        <v>3361</v>
      </c>
      <c r="M158" s="198"/>
      <c r="N158" s="199" t="s">
        <v>921</v>
      </c>
      <c r="O158" s="199" t="s">
        <v>935</v>
      </c>
      <c r="P158" s="206"/>
      <c r="Q158" s="203" t="s">
        <v>936</v>
      </c>
      <c r="R158" s="203" t="s">
        <v>937</v>
      </c>
      <c r="S158" s="203" t="s">
        <v>939</v>
      </c>
      <c r="T158" s="203"/>
      <c r="U158" s="198"/>
      <c r="V158" s="198"/>
      <c r="W158" s="196"/>
      <c r="X158" s="196"/>
      <c r="Y158" s="196"/>
      <c r="Z158" s="202" t="str">
        <f t="shared" si="0"/>
        <v>RLOM Tanks</v>
      </c>
      <c r="AA158" s="172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</row>
    <row r="159" spans="1:40" ht="18" customHeight="1">
      <c r="A159" s="190">
        <v>3</v>
      </c>
      <c r="B159" s="190" t="s">
        <v>538</v>
      </c>
      <c r="C159" s="190">
        <v>30</v>
      </c>
      <c r="D159" s="191" t="s">
        <v>541</v>
      </c>
      <c r="E159" s="192">
        <v>304</v>
      </c>
      <c r="F159" s="192" t="s">
        <v>913</v>
      </c>
      <c r="G159" s="193" t="s">
        <v>546</v>
      </c>
      <c r="H159" s="208" t="str">
        <f>HYPERLINK("http://bsdd.buildingsmart.org/#concept/details/0lsI5XMGr7dPIgHxBC8xbz","0lsI5XMGr7dPIgHxBC8xbz")</f>
        <v>0lsI5XMGr7dPIgHxBC8xbz</v>
      </c>
      <c r="I159" s="119" t="s">
        <v>4904</v>
      </c>
      <c r="J159" s="209" t="s">
        <v>3366</v>
      </c>
      <c r="K159" s="206" t="s">
        <v>949</v>
      </c>
      <c r="L159" s="247" t="s">
        <v>3367</v>
      </c>
      <c r="M159" s="198"/>
      <c r="N159" s="199" t="s">
        <v>921</v>
      </c>
      <c r="O159" s="199" t="s">
        <v>935</v>
      </c>
      <c r="P159" s="206"/>
      <c r="Q159" s="203" t="s">
        <v>936</v>
      </c>
      <c r="R159" s="203" t="s">
        <v>937</v>
      </c>
      <c r="S159" s="203" t="s">
        <v>939</v>
      </c>
      <c r="T159" s="203"/>
      <c r="U159" s="198"/>
      <c r="V159" s="198"/>
      <c r="W159" s="196"/>
      <c r="X159" s="196"/>
      <c r="Y159" s="196"/>
      <c r="Z159" s="202" t="str">
        <f t="shared" si="0"/>
        <v>RLOM Tanks</v>
      </c>
      <c r="AA159" s="172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</row>
    <row r="160" spans="1:40" ht="27" customHeight="1">
      <c r="A160" s="190">
        <v>3</v>
      </c>
      <c r="B160" s="190" t="s">
        <v>538</v>
      </c>
      <c r="C160" s="190">
        <v>30</v>
      </c>
      <c r="D160" s="191" t="s">
        <v>541</v>
      </c>
      <c r="E160" s="192">
        <v>304</v>
      </c>
      <c r="F160" s="192" t="s">
        <v>913</v>
      </c>
      <c r="G160" s="193" t="s">
        <v>546</v>
      </c>
      <c r="H160" s="208" t="str">
        <f>HYPERLINK("http://bsdd.buildingsmart.org/#concept/details/01eK_pAr517gZGhYIZZ85o","01eK_pAr517gZGhYIZZ85o")</f>
        <v>01eK_pAr517gZGhYIZZ85o</v>
      </c>
      <c r="I160" s="119" t="s">
        <v>966</v>
      </c>
      <c r="J160" s="209" t="s">
        <v>3369</v>
      </c>
      <c r="K160" s="206" t="s">
        <v>977</v>
      </c>
      <c r="L160" s="247" t="s">
        <v>3370</v>
      </c>
      <c r="M160" s="198"/>
      <c r="N160" s="203" t="s">
        <v>821</v>
      </c>
      <c r="O160" s="199" t="s">
        <v>822</v>
      </c>
      <c r="P160" s="191" t="s">
        <v>823</v>
      </c>
      <c r="Q160" s="203" t="s">
        <v>809</v>
      </c>
      <c r="R160" s="203" t="s">
        <v>810</v>
      </c>
      <c r="S160" s="203" t="s">
        <v>824</v>
      </c>
      <c r="T160" s="203"/>
      <c r="U160" s="198"/>
      <c r="V160" s="198"/>
      <c r="W160" s="196"/>
      <c r="X160" s="196"/>
      <c r="Y160" s="196"/>
      <c r="Z160" s="202" t="str">
        <f t="shared" si="0"/>
        <v>RLOM PipeSegments</v>
      </c>
      <c r="AA160" s="172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</row>
    <row r="161" spans="1:40" ht="18" customHeight="1">
      <c r="A161" s="190">
        <v>3</v>
      </c>
      <c r="B161" s="190" t="s">
        <v>538</v>
      </c>
      <c r="C161" s="190">
        <v>30</v>
      </c>
      <c r="D161" s="191" t="s">
        <v>541</v>
      </c>
      <c r="E161" s="192">
        <v>304</v>
      </c>
      <c r="F161" s="192" t="s">
        <v>913</v>
      </c>
      <c r="G161" s="193" t="s">
        <v>546</v>
      </c>
      <c r="H161" s="208" t="str">
        <f>HYPERLINK("http://bsdd.buildingsmart.org/#concept/details/1L$ZAZgO5DdQlYqPdxfBJI","1L$ZAZgO5DdQlYqPdxfBJI")</f>
        <v>1L$ZAZgO5DdQlYqPdxfBJI</v>
      </c>
      <c r="I161" s="123" t="s">
        <v>982</v>
      </c>
      <c r="J161" s="195" t="s">
        <v>3373</v>
      </c>
      <c r="K161" s="206" t="s">
        <v>983</v>
      </c>
      <c r="L161" s="247" t="str">
        <f t="shared" ref="L161:L167" ca="1" si="7">IFERROR(__xludf.DUMMYFUNCTION(GOOGLETRANSLATE(J161,"no","en")),"air silencer")</f>
        <v>air silencer</v>
      </c>
      <c r="M161" s="198"/>
      <c r="N161" s="199" t="s">
        <v>984</v>
      </c>
      <c r="O161" s="199" t="s">
        <v>985</v>
      </c>
      <c r="P161" s="206"/>
      <c r="Q161" s="203" t="s">
        <v>986</v>
      </c>
      <c r="R161" s="203" t="s">
        <v>987</v>
      </c>
      <c r="S161" s="203" t="s">
        <v>988</v>
      </c>
      <c r="T161" s="203"/>
      <c r="U161" s="198"/>
      <c r="V161" s="198"/>
      <c r="W161" s="196"/>
      <c r="X161" s="196"/>
      <c r="Y161" s="196"/>
      <c r="Z161" s="202" t="str">
        <f t="shared" si="0"/>
        <v>RLOM Valves</v>
      </c>
      <c r="AA161" s="172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</row>
    <row r="162" spans="1:40" ht="18" customHeight="1">
      <c r="A162" s="190">
        <v>3</v>
      </c>
      <c r="B162" s="190" t="s">
        <v>538</v>
      </c>
      <c r="C162" s="190">
        <v>30</v>
      </c>
      <c r="D162" s="191" t="s">
        <v>541</v>
      </c>
      <c r="E162" s="192">
        <v>304</v>
      </c>
      <c r="F162" s="192" t="s">
        <v>913</v>
      </c>
      <c r="G162" s="193" t="s">
        <v>546</v>
      </c>
      <c r="H162" s="208" t="str">
        <f>HYPERLINK("http://bsdd.buildingsmart.org/#concept/details/13ccWJEsT2xBANyq$VdmGN","13ccWJEsT2xBANyq$VdmGN")</f>
        <v>13ccWJEsT2xBANyq$VdmGN</v>
      </c>
      <c r="I162" s="119" t="s">
        <v>996</v>
      </c>
      <c r="J162" s="209" t="s">
        <v>3379</v>
      </c>
      <c r="K162" s="206" t="s">
        <v>998</v>
      </c>
      <c r="L162" s="247" t="str">
        <f t="shared" ca="1" si="7"/>
        <v>air silencer</v>
      </c>
      <c r="M162" s="198"/>
      <c r="N162" s="199" t="s">
        <v>984</v>
      </c>
      <c r="O162" s="199" t="s">
        <v>985</v>
      </c>
      <c r="P162" s="206"/>
      <c r="Q162" s="203" t="s">
        <v>986</v>
      </c>
      <c r="R162" s="203" t="s">
        <v>987</v>
      </c>
      <c r="S162" s="203" t="s">
        <v>988</v>
      </c>
      <c r="T162" s="203"/>
      <c r="U162" s="198"/>
      <c r="V162" s="198"/>
      <c r="W162" s="196"/>
      <c r="X162" s="196"/>
      <c r="Y162" s="196"/>
      <c r="Z162" s="202" t="str">
        <f t="shared" si="0"/>
        <v>RLOM Valves</v>
      </c>
      <c r="AA162" s="172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</row>
    <row r="163" spans="1:40" ht="21.75" customHeight="1">
      <c r="A163" s="190">
        <v>3</v>
      </c>
      <c r="B163" s="190" t="s">
        <v>538</v>
      </c>
      <c r="C163" s="190">
        <v>30</v>
      </c>
      <c r="D163" s="191" t="s">
        <v>541</v>
      </c>
      <c r="E163" s="192">
        <v>304</v>
      </c>
      <c r="F163" s="192" t="s">
        <v>913</v>
      </c>
      <c r="G163" s="193" t="s">
        <v>546</v>
      </c>
      <c r="H163" s="208" t="str">
        <f>HYPERLINK("http://bsdd.buildingsmart.org/#concept/details/0WVoW8NW5EjwR5_ydbBp33","0WVoW8NW5EjwR5_ydbBp33")</f>
        <v>0WVoW8NW5EjwR5_ydbBp33</v>
      </c>
      <c r="I163" s="119" t="s">
        <v>1050</v>
      </c>
      <c r="J163" s="209" t="s">
        <v>3387</v>
      </c>
      <c r="K163" s="206" t="s">
        <v>1051</v>
      </c>
      <c r="L163" s="247" t="str">
        <f t="shared" ca="1" si="7"/>
        <v>air silencer</v>
      </c>
      <c r="M163" s="198"/>
      <c r="N163" s="199" t="s">
        <v>1053</v>
      </c>
      <c r="O163" s="199" t="s">
        <v>1054</v>
      </c>
      <c r="P163" s="206"/>
      <c r="Q163" s="203" t="s">
        <v>986</v>
      </c>
      <c r="R163" s="203" t="s">
        <v>987</v>
      </c>
      <c r="S163" s="203" t="s">
        <v>1073</v>
      </c>
      <c r="T163" s="203"/>
      <c r="U163" s="198"/>
      <c r="V163" s="198"/>
      <c r="W163" s="196"/>
      <c r="X163" s="196"/>
      <c r="Y163" s="196"/>
      <c r="Z163" s="202" t="str">
        <f t="shared" si="0"/>
        <v>RLOM Valves</v>
      </c>
      <c r="AA163" s="172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</row>
    <row r="164" spans="1:40" ht="18" customHeight="1">
      <c r="A164" s="190">
        <v>3</v>
      </c>
      <c r="B164" s="190" t="s">
        <v>538</v>
      </c>
      <c r="C164" s="190">
        <v>30</v>
      </c>
      <c r="D164" s="191" t="s">
        <v>541</v>
      </c>
      <c r="E164" s="192">
        <v>304</v>
      </c>
      <c r="F164" s="192" t="s">
        <v>913</v>
      </c>
      <c r="G164" s="193" t="s">
        <v>546</v>
      </c>
      <c r="H164" s="208" t="str">
        <f>HYPERLINK("http://bsdd.buildingsmart.org/#concept/details/06L4HtKIDDkw3BV7xAZJwZ","06L4HtKIDDkw3BV7xAZJwZ")</f>
        <v>06L4HtKIDDkw3BV7xAZJwZ</v>
      </c>
      <c r="I164" s="119" t="s">
        <v>1077</v>
      </c>
      <c r="J164" s="209" t="s">
        <v>3390</v>
      </c>
      <c r="K164" s="206" t="s">
        <v>998</v>
      </c>
      <c r="L164" s="247" t="str">
        <f t="shared" ca="1" si="7"/>
        <v>air silencer</v>
      </c>
      <c r="M164" s="198"/>
      <c r="N164" s="199" t="s">
        <v>984</v>
      </c>
      <c r="O164" s="199" t="s">
        <v>985</v>
      </c>
      <c r="P164" s="206"/>
      <c r="Q164" s="203" t="s">
        <v>986</v>
      </c>
      <c r="R164" s="203" t="s">
        <v>987</v>
      </c>
      <c r="S164" s="203" t="s">
        <v>988</v>
      </c>
      <c r="T164" s="203"/>
      <c r="U164" s="198"/>
      <c r="V164" s="198"/>
      <c r="W164" s="196"/>
      <c r="X164" s="196"/>
      <c r="Y164" s="196"/>
      <c r="Z164" s="202" t="str">
        <f t="shared" si="0"/>
        <v>RLOM Valves</v>
      </c>
      <c r="AA164" s="172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</row>
    <row r="165" spans="1:40" ht="27" customHeight="1">
      <c r="A165" s="190">
        <v>3</v>
      </c>
      <c r="B165" s="190" t="s">
        <v>538</v>
      </c>
      <c r="C165" s="190">
        <v>30</v>
      </c>
      <c r="D165" s="191" t="s">
        <v>541</v>
      </c>
      <c r="E165" s="192">
        <v>304</v>
      </c>
      <c r="F165" s="192" t="s">
        <v>913</v>
      </c>
      <c r="G165" s="193" t="s">
        <v>546</v>
      </c>
      <c r="H165" s="208" t="str">
        <f>HYPERLINK("http://bsdd.buildingsmart.org/#concept/details/3cKim0GJf3mxz7EqVVfQ8u","3cKim0GJf3mxz7EqVVfQ8u")</f>
        <v>3cKim0GJf3mxz7EqVVfQ8u</v>
      </c>
      <c r="I165" s="119" t="s">
        <v>1083</v>
      </c>
      <c r="J165" s="209" t="s">
        <v>3393</v>
      </c>
      <c r="K165" s="191" t="s">
        <v>1084</v>
      </c>
      <c r="L165" s="247" t="str">
        <f t="shared" ca="1" si="7"/>
        <v>air silencer</v>
      </c>
      <c r="M165" s="198"/>
      <c r="N165" s="203" t="s">
        <v>821</v>
      </c>
      <c r="O165" s="199" t="s">
        <v>822</v>
      </c>
      <c r="P165" s="191" t="s">
        <v>823</v>
      </c>
      <c r="Q165" s="203" t="s">
        <v>1085</v>
      </c>
      <c r="R165" s="203" t="s">
        <v>1086</v>
      </c>
      <c r="S165" s="203" t="s">
        <v>1087</v>
      </c>
      <c r="T165" s="203"/>
      <c r="U165" s="198"/>
      <c r="V165" s="198"/>
      <c r="W165" s="196"/>
      <c r="X165" s="196"/>
      <c r="Y165" s="196"/>
      <c r="Z165" s="202" t="str">
        <f t="shared" si="0"/>
        <v>RLOM VibrationIsolators</v>
      </c>
      <c r="AA165" s="172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</row>
    <row r="166" spans="1:40" ht="27" customHeight="1">
      <c r="A166" s="190">
        <v>3</v>
      </c>
      <c r="B166" s="190" t="s">
        <v>538</v>
      </c>
      <c r="C166" s="190">
        <v>30</v>
      </c>
      <c r="D166" s="191" t="s">
        <v>541</v>
      </c>
      <c r="E166" s="192">
        <v>304</v>
      </c>
      <c r="F166" s="192" t="s">
        <v>913</v>
      </c>
      <c r="G166" s="193" t="s">
        <v>546</v>
      </c>
      <c r="H166" s="208" t="str">
        <f>HYPERLINK("http://bsdd.buildingsmart.org/#concept/details/3vHJ2qoT0Hsm00051Mm008","3vHJ2qoT0Hsm00051Mm008")</f>
        <v>3vHJ2qoT0Hsm00051Mm008</v>
      </c>
      <c r="I166" s="119" t="s">
        <v>1084</v>
      </c>
      <c r="J166" s="209" t="s">
        <v>3401</v>
      </c>
      <c r="K166" s="206"/>
      <c r="L166" s="247" t="str">
        <f t="shared" ca="1" si="7"/>
        <v>air silencer</v>
      </c>
      <c r="M166" s="198"/>
      <c r="N166" s="203" t="s">
        <v>821</v>
      </c>
      <c r="O166" s="199" t="s">
        <v>822</v>
      </c>
      <c r="P166" s="191" t="s">
        <v>823</v>
      </c>
      <c r="Q166" s="203" t="s">
        <v>1085</v>
      </c>
      <c r="R166" s="203" t="s">
        <v>1086</v>
      </c>
      <c r="S166" s="203" t="s">
        <v>1126</v>
      </c>
      <c r="T166" s="203"/>
      <c r="U166" s="198"/>
      <c r="V166" s="198"/>
      <c r="W166" s="196"/>
      <c r="X166" s="196"/>
      <c r="Y166" s="196"/>
      <c r="Z166" s="202" t="str">
        <f t="shared" si="0"/>
        <v>RLOM VibrationIsolators</v>
      </c>
      <c r="AA166" s="172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</row>
    <row r="167" spans="1:40" ht="27" customHeight="1">
      <c r="A167" s="190">
        <v>3</v>
      </c>
      <c r="B167" s="190" t="s">
        <v>538</v>
      </c>
      <c r="C167" s="190">
        <v>30</v>
      </c>
      <c r="D167" s="191" t="s">
        <v>541</v>
      </c>
      <c r="E167" s="192">
        <v>304</v>
      </c>
      <c r="F167" s="192" t="s">
        <v>913</v>
      </c>
      <c r="G167" s="193" t="s">
        <v>546</v>
      </c>
      <c r="H167" s="208" t="str">
        <f>HYPERLINK("http://bsdd.buildingsmart.org/#concept/details/0mUKjuFon6qw180D82myIE","0mUKjuFon6qw180D82myIE")</f>
        <v>0mUKjuFon6qw180D82myIE</v>
      </c>
      <c r="I167" s="119" t="s">
        <v>1130</v>
      </c>
      <c r="J167" s="209" t="s">
        <v>3405</v>
      </c>
      <c r="K167" s="206" t="s">
        <v>1084</v>
      </c>
      <c r="L167" s="247" t="str">
        <f t="shared" ca="1" si="7"/>
        <v>air silencer</v>
      </c>
      <c r="M167" s="198"/>
      <c r="N167" s="203" t="s">
        <v>821</v>
      </c>
      <c r="O167" s="199" t="s">
        <v>822</v>
      </c>
      <c r="P167" s="191" t="s">
        <v>823</v>
      </c>
      <c r="Q167" s="203" t="s">
        <v>1085</v>
      </c>
      <c r="R167" s="203" t="s">
        <v>1086</v>
      </c>
      <c r="S167" s="203" t="s">
        <v>1146</v>
      </c>
      <c r="T167" s="203"/>
      <c r="U167" s="198"/>
      <c r="V167" s="198"/>
      <c r="W167" s="196"/>
      <c r="X167" s="196"/>
      <c r="Y167" s="196"/>
      <c r="Z167" s="202" t="str">
        <f t="shared" si="0"/>
        <v>RLOM VibrationIsolators</v>
      </c>
      <c r="AA167" s="172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</row>
    <row r="168" spans="1:40" ht="24" customHeight="1">
      <c r="A168" s="190">
        <v>3</v>
      </c>
      <c r="B168" s="190" t="s">
        <v>538</v>
      </c>
      <c r="C168" s="190">
        <v>31</v>
      </c>
      <c r="D168" s="191" t="s">
        <v>1151</v>
      </c>
      <c r="E168" s="192">
        <v>311</v>
      </c>
      <c r="F168" s="192" t="s">
        <v>1152</v>
      </c>
      <c r="G168" s="193" t="s">
        <v>1153</v>
      </c>
      <c r="H168" s="222" t="str">
        <f>HYPERLINK("http://bsdd.buildingsmart.org/#concept/details/0c4pwAVSmHtm00025QrE$V","0c4pwAVSmHtm00025QrE$V")</f>
        <v>0c4pwAVSmHtm00025QrE$V</v>
      </c>
      <c r="I168" s="122" t="s">
        <v>4905</v>
      </c>
      <c r="J168" s="195" t="s">
        <v>3408</v>
      </c>
      <c r="K168" s="191"/>
      <c r="L168" s="249" t="s">
        <v>3409</v>
      </c>
      <c r="M168" s="198"/>
      <c r="N168" s="203" t="s">
        <v>565</v>
      </c>
      <c r="O168" s="199" t="s">
        <v>566</v>
      </c>
      <c r="P168" s="191" t="s">
        <v>567</v>
      </c>
      <c r="Q168" s="203" t="s">
        <v>569</v>
      </c>
      <c r="R168" s="203" t="s">
        <v>571</v>
      </c>
      <c r="S168" s="203" t="s">
        <v>573</v>
      </c>
      <c r="T168" s="203"/>
      <c r="U168" s="198"/>
      <c r="V168" s="198"/>
      <c r="W168" s="198"/>
      <c r="X168" s="198"/>
      <c r="Y168" s="198"/>
      <c r="Z168" s="202" t="str">
        <f t="shared" si="0"/>
        <v>RLOM PipeFittings</v>
      </c>
      <c r="AA168" s="172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</row>
    <row r="169" spans="1:40" ht="24" customHeight="1">
      <c r="A169" s="190">
        <v>3</v>
      </c>
      <c r="B169" s="190" t="s">
        <v>538</v>
      </c>
      <c r="C169" s="190">
        <v>31</v>
      </c>
      <c r="D169" s="191" t="s">
        <v>1151</v>
      </c>
      <c r="E169" s="192">
        <v>311</v>
      </c>
      <c r="F169" s="192" t="s">
        <v>1152</v>
      </c>
      <c r="G169" s="193" t="s">
        <v>1153</v>
      </c>
      <c r="H169" s="208" t="str">
        <f>HYPERLINK("http://bsdd.buildingsmart.org/#concept/details/2Mm1zm1FDAQfN6GqAxlwv9","2Mm1zm1FDAQfN6GqAxlwv9")</f>
        <v>2Mm1zm1FDAQfN6GqAxlwv9</v>
      </c>
      <c r="I169" s="119" t="s">
        <v>4906</v>
      </c>
      <c r="J169" s="209" t="s">
        <v>3415</v>
      </c>
      <c r="K169" s="206"/>
      <c r="L169" s="247" t="s">
        <v>3416</v>
      </c>
      <c r="M169" s="198"/>
      <c r="N169" s="203" t="s">
        <v>722</v>
      </c>
      <c r="O169" s="199" t="s">
        <v>724</v>
      </c>
      <c r="P169" s="191" t="s">
        <v>726</v>
      </c>
      <c r="Q169" s="203" t="s">
        <v>569</v>
      </c>
      <c r="R169" s="203" t="s">
        <v>571</v>
      </c>
      <c r="S169" s="203" t="s">
        <v>728</v>
      </c>
      <c r="T169" s="203"/>
      <c r="U169" s="198"/>
      <c r="V169" s="198"/>
      <c r="W169" s="198"/>
      <c r="X169" s="198"/>
      <c r="Y169" s="198"/>
      <c r="Z169" s="202" t="str">
        <f t="shared" si="0"/>
        <v>RLOM PipeFittings</v>
      </c>
      <c r="AA169" s="172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</row>
    <row r="170" spans="1:40" ht="21.75" customHeight="1">
      <c r="A170" s="190">
        <v>3</v>
      </c>
      <c r="B170" s="190" t="s">
        <v>538</v>
      </c>
      <c r="C170" s="190">
        <v>31</v>
      </c>
      <c r="D170" s="191" t="s">
        <v>1151</v>
      </c>
      <c r="E170" s="192">
        <v>311</v>
      </c>
      <c r="F170" s="192" t="s">
        <v>1152</v>
      </c>
      <c r="G170" s="193" t="s">
        <v>1153</v>
      </c>
      <c r="H170" s="222" t="str">
        <f>HYPERLINK("http://bsdd.buildingsmart.org/#concept/details/3nexOXeJ5DGfLtLuVOPB5K","3nexOXeJ5DGfLtLuVOPB5K")</f>
        <v>3nexOXeJ5DGfLtLuVOPB5K</v>
      </c>
      <c r="I170" s="122" t="s">
        <v>4907</v>
      </c>
      <c r="J170" s="195" t="s">
        <v>3419</v>
      </c>
      <c r="K170" s="191" t="s">
        <v>1201</v>
      </c>
      <c r="L170" s="249" t="s">
        <v>3420</v>
      </c>
      <c r="M170" s="198"/>
      <c r="N170" s="203" t="s">
        <v>565</v>
      </c>
      <c r="O170" s="199" t="s">
        <v>566</v>
      </c>
      <c r="P170" s="191" t="s">
        <v>794</v>
      </c>
      <c r="Q170" s="203" t="s">
        <v>569</v>
      </c>
      <c r="R170" s="203" t="s">
        <v>571</v>
      </c>
      <c r="S170" s="203" t="s">
        <v>795</v>
      </c>
      <c r="T170" s="203" t="s">
        <v>796</v>
      </c>
      <c r="U170" s="198"/>
      <c r="V170" s="198"/>
      <c r="W170" s="198"/>
      <c r="X170" s="198"/>
      <c r="Y170" s="198"/>
      <c r="Z170" s="202" t="str">
        <f t="shared" si="0"/>
        <v>RLOM PipeFittings</v>
      </c>
      <c r="AA170" s="172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</row>
    <row r="171" spans="1:40" ht="21.75" customHeight="1">
      <c r="A171" s="190">
        <v>3</v>
      </c>
      <c r="B171" s="190" t="s">
        <v>538</v>
      </c>
      <c r="C171" s="190">
        <v>31</v>
      </c>
      <c r="D171" s="191" t="s">
        <v>1151</v>
      </c>
      <c r="E171" s="192">
        <v>311</v>
      </c>
      <c r="F171" s="192" t="s">
        <v>1152</v>
      </c>
      <c r="G171" s="193" t="s">
        <v>1153</v>
      </c>
      <c r="H171" s="222" t="str">
        <f>HYPERLINK("http://bsdd.buildingsmart.org/#concept/details/3vHOyyoT0Hsm00051Mm008","3vHOyyoT0Hsm00051Mm008")</f>
        <v>3vHOyyoT0Hsm00051Mm008</v>
      </c>
      <c r="I171" s="119" t="s">
        <v>4908</v>
      </c>
      <c r="J171" s="209" t="s">
        <v>3422</v>
      </c>
      <c r="K171" s="206"/>
      <c r="L171" s="249" t="s">
        <v>3423</v>
      </c>
      <c r="M171" s="198"/>
      <c r="N171" s="203" t="s">
        <v>722</v>
      </c>
      <c r="O171" s="199" t="s">
        <v>724</v>
      </c>
      <c r="P171" s="191" t="s">
        <v>726</v>
      </c>
      <c r="Q171" s="203" t="s">
        <v>809</v>
      </c>
      <c r="R171" s="203" t="s">
        <v>810</v>
      </c>
      <c r="S171" s="203" t="s">
        <v>811</v>
      </c>
      <c r="T171" s="203"/>
      <c r="U171" s="198"/>
      <c r="V171" s="198"/>
      <c r="W171" s="198"/>
      <c r="X171" s="198"/>
      <c r="Y171" s="198"/>
      <c r="Z171" s="202" t="str">
        <f t="shared" si="0"/>
        <v>RLOM PipeSegments</v>
      </c>
      <c r="AA171" s="172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</row>
    <row r="172" spans="1:40" ht="24" customHeight="1">
      <c r="A172" s="190">
        <v>3</v>
      </c>
      <c r="B172" s="190" t="s">
        <v>538</v>
      </c>
      <c r="C172" s="190">
        <v>31</v>
      </c>
      <c r="D172" s="191" t="s">
        <v>1151</v>
      </c>
      <c r="E172" s="192">
        <v>311</v>
      </c>
      <c r="F172" s="192" t="s">
        <v>1152</v>
      </c>
      <c r="G172" s="193" t="s">
        <v>1153</v>
      </c>
      <c r="H172" s="222" t="str">
        <f>HYPERLINK("http://bsdd.buildingsmart.org/#concept/details/3vHKVyoT0Hsm00051Mm008","3vHKVyoT0Hsm00051Mm008")</f>
        <v>3vHKVyoT0Hsm00051Mm008</v>
      </c>
      <c r="I172" s="122" t="s">
        <v>4909</v>
      </c>
      <c r="J172" s="195" t="s">
        <v>3426</v>
      </c>
      <c r="K172" s="191"/>
      <c r="L172" s="249" t="s">
        <v>3427</v>
      </c>
      <c r="M172" s="198"/>
      <c r="N172" s="203" t="s">
        <v>565</v>
      </c>
      <c r="O172" s="199" t="s">
        <v>566</v>
      </c>
      <c r="P172" s="191" t="s">
        <v>794</v>
      </c>
      <c r="Q172" s="203" t="s">
        <v>569</v>
      </c>
      <c r="R172" s="203" t="s">
        <v>571</v>
      </c>
      <c r="S172" s="203" t="s">
        <v>795</v>
      </c>
      <c r="T172" s="203" t="s">
        <v>910</v>
      </c>
      <c r="U172" s="198"/>
      <c r="V172" s="198"/>
      <c r="W172" s="198"/>
      <c r="X172" s="198"/>
      <c r="Y172" s="198"/>
      <c r="Z172" s="202" t="str">
        <f t="shared" si="0"/>
        <v>RLOM PipeFittings</v>
      </c>
      <c r="AA172" s="172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</row>
    <row r="173" spans="1:40" ht="33" customHeight="1">
      <c r="A173" s="190">
        <v>3</v>
      </c>
      <c r="B173" s="190" t="s">
        <v>538</v>
      </c>
      <c r="C173" s="190">
        <v>31</v>
      </c>
      <c r="D173" s="191" t="s">
        <v>1151</v>
      </c>
      <c r="E173" s="192">
        <v>312</v>
      </c>
      <c r="F173" s="192" t="s">
        <v>1257</v>
      </c>
      <c r="G173" s="193" t="s">
        <v>1258</v>
      </c>
      <c r="H173" s="222" t="str">
        <f>HYPERLINK("http://bsdd.buildingsmart.org/#concept/details/0c4pwAVSmHtm00025QrE$V","0c4pwAVSmHtm00025QrE$V")</f>
        <v>0c4pwAVSmHtm00025QrE$V</v>
      </c>
      <c r="I173" s="122" t="s">
        <v>4910</v>
      </c>
      <c r="J173" s="195" t="s">
        <v>3430</v>
      </c>
      <c r="K173" s="191" t="s">
        <v>550</v>
      </c>
      <c r="L173" s="249" t="s">
        <v>3409</v>
      </c>
      <c r="M173" s="198"/>
      <c r="N173" s="203" t="s">
        <v>565</v>
      </c>
      <c r="O173" s="199" t="s">
        <v>566</v>
      </c>
      <c r="P173" s="191" t="s">
        <v>567</v>
      </c>
      <c r="Q173" s="203" t="s">
        <v>569</v>
      </c>
      <c r="R173" s="203" t="s">
        <v>571</v>
      </c>
      <c r="S173" s="203" t="s">
        <v>573</v>
      </c>
      <c r="T173" s="203"/>
      <c r="U173" s="198"/>
      <c r="V173" s="198"/>
      <c r="W173" s="198"/>
      <c r="X173" s="198"/>
      <c r="Y173" s="198"/>
      <c r="Z173" s="202" t="str">
        <f t="shared" si="0"/>
        <v>RLOM PipeFittings</v>
      </c>
      <c r="AA173" s="172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</row>
    <row r="174" spans="1:40" ht="33" customHeight="1">
      <c r="A174" s="190">
        <v>3</v>
      </c>
      <c r="B174" s="190" t="s">
        <v>538</v>
      </c>
      <c r="C174" s="190">
        <v>31</v>
      </c>
      <c r="D174" s="191" t="s">
        <v>1151</v>
      </c>
      <c r="E174" s="192">
        <v>312</v>
      </c>
      <c r="F174" s="192" t="s">
        <v>1257</v>
      </c>
      <c r="G174" s="193" t="s">
        <v>1258</v>
      </c>
      <c r="H174" s="208" t="str">
        <f>HYPERLINK("http://bsdd.buildingsmart.org/#concept/details/3RCjP5jz5BNRUyQXH0F_Df","3RCjP5jz5BNRUyQXH0F_Df")</f>
        <v>3RCjP5jz5BNRUyQXH0F_Df</v>
      </c>
      <c r="I174" s="123" t="s">
        <v>1269</v>
      </c>
      <c r="J174" s="195" t="s">
        <v>3439</v>
      </c>
      <c r="K174" s="206" t="s">
        <v>1271</v>
      </c>
      <c r="L174" s="247" t="str">
        <f ca="1">IFERROR(__xludf.DUMMYFUNCTION(GOOGLETRANSLATE(J174,"no","en")),"durgo valve")</f>
        <v>durgo valve</v>
      </c>
      <c r="M174" s="198"/>
      <c r="N174" s="199" t="s">
        <v>1272</v>
      </c>
      <c r="O174" s="199" t="s">
        <v>1274</v>
      </c>
      <c r="P174" s="206"/>
      <c r="Q174" s="203" t="s">
        <v>986</v>
      </c>
      <c r="R174" s="203" t="s">
        <v>987</v>
      </c>
      <c r="S174" s="203" t="s">
        <v>1286</v>
      </c>
      <c r="T174" s="203"/>
      <c r="U174" s="198"/>
      <c r="V174" s="198"/>
      <c r="W174" s="196"/>
      <c r="X174" s="196"/>
      <c r="Y174" s="196"/>
      <c r="Z174" s="202" t="str">
        <f t="shared" si="0"/>
        <v>RLOM Valves</v>
      </c>
      <c r="AA174" s="172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</row>
    <row r="175" spans="1:40" ht="33" customHeight="1">
      <c r="A175" s="190">
        <v>3</v>
      </c>
      <c r="B175" s="190" t="s">
        <v>538</v>
      </c>
      <c r="C175" s="190">
        <v>31</v>
      </c>
      <c r="D175" s="191" t="s">
        <v>1151</v>
      </c>
      <c r="E175" s="192">
        <v>312</v>
      </c>
      <c r="F175" s="192" t="s">
        <v>1257</v>
      </c>
      <c r="G175" s="193" t="s">
        <v>1258</v>
      </c>
      <c r="H175" s="208" t="str">
        <f>HYPERLINK("http://bsdd.buildingsmart.org/#concept/details/3vPbifqoLE89$CC3OACl0U","3vPbifqoLE89$CC3OACl0U")</f>
        <v>3vPbifqoLE89$CC3OACl0U</v>
      </c>
      <c r="I175" s="119" t="s">
        <v>4911</v>
      </c>
      <c r="J175" s="209" t="s">
        <v>3449</v>
      </c>
      <c r="K175" s="206"/>
      <c r="L175" s="247" t="s">
        <v>3450</v>
      </c>
      <c r="M175" s="198"/>
      <c r="N175" s="203" t="s">
        <v>722</v>
      </c>
      <c r="O175" s="199" t="s">
        <v>724</v>
      </c>
      <c r="P175" s="191" t="s">
        <v>726</v>
      </c>
      <c r="Q175" s="203" t="s">
        <v>569</v>
      </c>
      <c r="R175" s="203" t="s">
        <v>571</v>
      </c>
      <c r="S175" s="203" t="s">
        <v>728</v>
      </c>
      <c r="T175" s="203"/>
      <c r="U175" s="198"/>
      <c r="V175" s="198"/>
      <c r="W175" s="198"/>
      <c r="X175" s="198"/>
      <c r="Y175" s="198"/>
      <c r="Z175" s="202" t="str">
        <f t="shared" si="0"/>
        <v>RLOM PipeFittings</v>
      </c>
      <c r="AA175" s="172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</row>
    <row r="176" spans="1:40" ht="33" customHeight="1">
      <c r="A176" s="190">
        <v>3</v>
      </c>
      <c r="B176" s="190" t="s">
        <v>538</v>
      </c>
      <c r="C176" s="190">
        <v>31</v>
      </c>
      <c r="D176" s="191" t="s">
        <v>1151</v>
      </c>
      <c r="E176" s="192">
        <v>312</v>
      </c>
      <c r="F176" s="192" t="s">
        <v>1257</v>
      </c>
      <c r="G176" s="193" t="s">
        <v>1258</v>
      </c>
      <c r="H176" s="222" t="str">
        <f>HYPERLINK("http://bsdd.buildingsmart.org/#concept/details/0bfJPNd1T2Yud0_mvvn7N_","0bfJPNd1T2Yud0_mvvn7N_")</f>
        <v>0bfJPNd1T2Yud0_mvvn7N_</v>
      </c>
      <c r="I176" s="122" t="s">
        <v>4912</v>
      </c>
      <c r="J176" s="195" t="s">
        <v>3453</v>
      </c>
      <c r="K176" s="191" t="s">
        <v>1301</v>
      </c>
      <c r="L176" s="249" t="s">
        <v>3454</v>
      </c>
      <c r="M176" s="198"/>
      <c r="N176" s="203" t="s">
        <v>565</v>
      </c>
      <c r="O176" s="199" t="s">
        <v>566</v>
      </c>
      <c r="P176" s="191" t="s">
        <v>794</v>
      </c>
      <c r="Q176" s="203" t="s">
        <v>569</v>
      </c>
      <c r="R176" s="203" t="s">
        <v>571</v>
      </c>
      <c r="S176" s="203" t="s">
        <v>795</v>
      </c>
      <c r="T176" s="203" t="s">
        <v>796</v>
      </c>
      <c r="U176" s="198"/>
      <c r="V176" s="198"/>
      <c r="W176" s="198"/>
      <c r="X176" s="198"/>
      <c r="Y176" s="198"/>
      <c r="Z176" s="202" t="str">
        <f t="shared" si="0"/>
        <v>RLOM PipeFittings</v>
      </c>
      <c r="AA176" s="172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</row>
    <row r="177" spans="1:40" ht="33" customHeight="1">
      <c r="A177" s="190">
        <v>3</v>
      </c>
      <c r="B177" s="190" t="s">
        <v>538</v>
      </c>
      <c r="C177" s="190">
        <v>31</v>
      </c>
      <c r="D177" s="191" t="s">
        <v>1151</v>
      </c>
      <c r="E177" s="192">
        <v>312</v>
      </c>
      <c r="F177" s="192" t="s">
        <v>1257</v>
      </c>
      <c r="G177" s="193" t="s">
        <v>1258</v>
      </c>
      <c r="H177" s="208" t="str">
        <f>HYPERLINK("http://bsdd.buildingsmart.org/#concept/details/0_mcU_ARfALQbAb$1YbnG$","0_mcU_ARfALQbAb$1YbnG$")</f>
        <v>0_mcU_ARfALQbAb$1YbnG$</v>
      </c>
      <c r="I177" s="123" t="s">
        <v>1305</v>
      </c>
      <c r="J177" s="195" t="s">
        <v>3457</v>
      </c>
      <c r="K177" s="206" t="s">
        <v>1306</v>
      </c>
      <c r="L177" s="247" t="s">
        <v>3458</v>
      </c>
      <c r="M177" s="198"/>
      <c r="N177" s="203" t="s">
        <v>1309</v>
      </c>
      <c r="O177" s="203" t="s">
        <v>1310</v>
      </c>
      <c r="P177" s="191" t="s">
        <v>1312</v>
      </c>
      <c r="Q177" s="224" t="str">
        <f>HYPERLINK("http://www.buildingsmart-tech.org/ifc/IFC4/final/html/schema/ifcplumbingfireprotectiondomain/lexical/ifcstackterminal.htm","IfcStackTerminal")</f>
        <v>IfcStackTerminal</v>
      </c>
      <c r="R177" s="203" t="s">
        <v>1315</v>
      </c>
      <c r="S177" s="203" t="s">
        <v>1316</v>
      </c>
      <c r="T177" s="203"/>
      <c r="U177" s="198"/>
      <c r="V177" s="198"/>
      <c r="W177" s="196"/>
      <c r="X177" s="196"/>
      <c r="Y177" s="196"/>
      <c r="Z177" s="202" t="str">
        <f t="shared" si="0"/>
        <v>RLOM StackTerminals</v>
      </c>
      <c r="AA177" s="172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</row>
    <row r="178" spans="1:40" ht="33" customHeight="1">
      <c r="A178" s="190">
        <v>3</v>
      </c>
      <c r="B178" s="190" t="s">
        <v>538</v>
      </c>
      <c r="C178" s="190">
        <v>31</v>
      </c>
      <c r="D178" s="191" t="s">
        <v>1151</v>
      </c>
      <c r="E178" s="192">
        <v>312</v>
      </c>
      <c r="F178" s="192" t="s">
        <v>1257</v>
      </c>
      <c r="G178" s="193" t="s">
        <v>1258</v>
      </c>
      <c r="H178" s="222" t="str">
        <f>HYPERLINK("http://bsdd.buildingsmart.org/#concept/details/3vHQHyoT0Hsm00051Mm008","3vHQHyoT0Hsm00051Mm008")</f>
        <v>3vHQHyoT0Hsm00051Mm008</v>
      </c>
      <c r="I178" s="119" t="s">
        <v>4913</v>
      </c>
      <c r="J178" s="209" t="s">
        <v>3461</v>
      </c>
      <c r="K178" s="206"/>
      <c r="L178" s="249" t="s">
        <v>3462</v>
      </c>
      <c r="M178" s="198"/>
      <c r="N178" s="203" t="s">
        <v>722</v>
      </c>
      <c r="O178" s="199" t="s">
        <v>724</v>
      </c>
      <c r="P178" s="191" t="s">
        <v>726</v>
      </c>
      <c r="Q178" s="192" t="s">
        <v>809</v>
      </c>
      <c r="R178" s="203" t="s">
        <v>810</v>
      </c>
      <c r="S178" s="203" t="s">
        <v>811</v>
      </c>
      <c r="T178" s="203"/>
      <c r="U178" s="198"/>
      <c r="V178" s="198"/>
      <c r="W178" s="198"/>
      <c r="X178" s="198"/>
      <c r="Y178" s="198"/>
      <c r="Z178" s="202" t="str">
        <f t="shared" si="0"/>
        <v>RLOM PipeSegments</v>
      </c>
      <c r="AA178" s="172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</row>
    <row r="179" spans="1:40" ht="33" customHeight="1">
      <c r="A179" s="190">
        <v>3</v>
      </c>
      <c r="B179" s="190" t="s">
        <v>538</v>
      </c>
      <c r="C179" s="190">
        <v>31</v>
      </c>
      <c r="D179" s="191" t="s">
        <v>1151</v>
      </c>
      <c r="E179" s="192">
        <v>312</v>
      </c>
      <c r="F179" s="192" t="s">
        <v>1257</v>
      </c>
      <c r="G179" s="193" t="s">
        <v>1258</v>
      </c>
      <c r="H179" s="222" t="str">
        <f>HYPERLINK("http://bsdd.buildingsmart.org/#concept/details/3vHZ3MoT0Hsm00051Mm008","3vHZ3MoT0Hsm00051Mm008")</f>
        <v>3vHZ3MoT0Hsm00051Mm008</v>
      </c>
      <c r="I179" s="119" t="s">
        <v>4914</v>
      </c>
      <c r="J179" s="209" t="s">
        <v>3475</v>
      </c>
      <c r="K179" s="206" t="s">
        <v>1328</v>
      </c>
      <c r="L179" s="249" t="s">
        <v>3476</v>
      </c>
      <c r="M179" s="198"/>
      <c r="N179" s="203" t="s">
        <v>821</v>
      </c>
      <c r="O179" s="199" t="s">
        <v>822</v>
      </c>
      <c r="P179" s="191" t="s">
        <v>823</v>
      </c>
      <c r="Q179" s="192" t="s">
        <v>809</v>
      </c>
      <c r="R179" s="203" t="s">
        <v>810</v>
      </c>
      <c r="S179" s="203" t="s">
        <v>824</v>
      </c>
      <c r="T179" s="203"/>
      <c r="U179" s="198"/>
      <c r="V179" s="198"/>
      <c r="W179" s="198"/>
      <c r="X179" s="198"/>
      <c r="Y179" s="198"/>
      <c r="Z179" s="202" t="str">
        <f t="shared" si="0"/>
        <v>RLOM PipeSegments</v>
      </c>
      <c r="AA179" s="172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</row>
    <row r="180" spans="1:40" ht="33" customHeight="1">
      <c r="A180" s="190">
        <v>3</v>
      </c>
      <c r="B180" s="190" t="s">
        <v>538</v>
      </c>
      <c r="C180" s="190">
        <v>31</v>
      </c>
      <c r="D180" s="191" t="s">
        <v>1151</v>
      </c>
      <c r="E180" s="192">
        <v>312</v>
      </c>
      <c r="F180" s="192" t="s">
        <v>1257</v>
      </c>
      <c r="G180" s="193" t="s">
        <v>1258</v>
      </c>
      <c r="H180" s="208" t="str">
        <f>HYPERLINK("http://bsdd.buildingsmart.org/#concept/details/0XerFNHajElOSHTFTZJ8vm","0XerFNHajElOSHTFTZJ8vm")</f>
        <v>0XerFNHajElOSHTFTZJ8vm</v>
      </c>
      <c r="I180" s="119" t="s">
        <v>4915</v>
      </c>
      <c r="J180" s="209" t="s">
        <v>3490</v>
      </c>
      <c r="K180" s="206" t="s">
        <v>1334</v>
      </c>
      <c r="L180" s="247" t="s">
        <v>3491</v>
      </c>
      <c r="M180" s="198"/>
      <c r="N180" s="203" t="s">
        <v>1337</v>
      </c>
      <c r="O180" s="199" t="s">
        <v>1338</v>
      </c>
      <c r="P180" s="191" t="s">
        <v>1339</v>
      </c>
      <c r="Q180" s="203" t="s">
        <v>789</v>
      </c>
      <c r="R180" s="203" t="s">
        <v>790</v>
      </c>
      <c r="S180" s="203" t="s">
        <v>791</v>
      </c>
      <c r="T180" s="203"/>
      <c r="U180" s="198"/>
      <c r="V180" s="198"/>
      <c r="W180" s="198"/>
      <c r="X180" s="198"/>
      <c r="Y180" s="198"/>
      <c r="Z180" s="202" t="str">
        <f t="shared" si="0"/>
        <v>RLOM DistributionChamberElements</v>
      </c>
      <c r="AA180" s="172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</row>
    <row r="181" spans="1:40" ht="33" customHeight="1">
      <c r="A181" s="190">
        <v>3</v>
      </c>
      <c r="B181" s="190" t="s">
        <v>538</v>
      </c>
      <c r="C181" s="190">
        <v>31</v>
      </c>
      <c r="D181" s="191" t="s">
        <v>1151</v>
      </c>
      <c r="E181" s="192">
        <v>312</v>
      </c>
      <c r="F181" s="192" t="s">
        <v>1257</v>
      </c>
      <c r="G181" s="193" t="s">
        <v>1258</v>
      </c>
      <c r="H181" s="222" t="str">
        <f>HYPERLINK("http://bsdd.buildingsmart.org/#concept/details/2rFrLsEqb1rOnK_pLC7Xfl","2rFrLsEqb1rOnK_pLC7Xfl")</f>
        <v>2rFrLsEqb1rOnK_pLC7Xfl</v>
      </c>
      <c r="I181" s="122" t="s">
        <v>4916</v>
      </c>
      <c r="J181" s="195" t="s">
        <v>3497</v>
      </c>
      <c r="K181" s="191"/>
      <c r="L181" s="249" t="s">
        <v>3498</v>
      </c>
      <c r="M181" s="198"/>
      <c r="N181" s="203" t="s">
        <v>565</v>
      </c>
      <c r="O181" s="199" t="s">
        <v>566</v>
      </c>
      <c r="P181" s="191" t="s">
        <v>794</v>
      </c>
      <c r="Q181" s="203" t="s">
        <v>569</v>
      </c>
      <c r="R181" s="203" t="s">
        <v>571</v>
      </c>
      <c r="S181" s="203" t="s">
        <v>795</v>
      </c>
      <c r="T181" s="203" t="s">
        <v>910</v>
      </c>
      <c r="U181" s="198"/>
      <c r="V181" s="198"/>
      <c r="W181" s="198"/>
      <c r="X181" s="198"/>
      <c r="Y181" s="198"/>
      <c r="Z181" s="202" t="str">
        <f t="shared" si="0"/>
        <v>RLOM PipeFittings</v>
      </c>
      <c r="AA181" s="172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</row>
    <row r="182" spans="1:40" ht="33" customHeight="1">
      <c r="A182" s="190">
        <v>3</v>
      </c>
      <c r="B182" s="190" t="s">
        <v>538</v>
      </c>
      <c r="C182" s="190">
        <v>34</v>
      </c>
      <c r="D182" s="191" t="s">
        <v>3296</v>
      </c>
      <c r="E182" s="192">
        <v>312</v>
      </c>
      <c r="F182" s="192" t="s">
        <v>3297</v>
      </c>
      <c r="G182" s="193"/>
      <c r="H182" s="208" t="str">
        <f>HYPERLINK("http://bsdd.buildingsmart.org/#concept/details/0pKFerFEPB5OetX3zJ0HJk","0pKFerFEPB5OetX3zJ0HJk")</f>
        <v>0pKFerFEPB5OetX3zJ0HJk</v>
      </c>
      <c r="I182" s="119" t="s">
        <v>4917</v>
      </c>
      <c r="J182" s="209" t="s">
        <v>3506</v>
      </c>
      <c r="K182" s="206" t="s">
        <v>3507</v>
      </c>
      <c r="L182" s="247" t="s">
        <v>3345</v>
      </c>
      <c r="M182" s="198"/>
      <c r="N182" s="203" t="s">
        <v>786</v>
      </c>
      <c r="O182" s="199" t="s">
        <v>787</v>
      </c>
      <c r="P182" s="191" t="s">
        <v>828</v>
      </c>
      <c r="Q182" s="203" t="s">
        <v>789</v>
      </c>
      <c r="R182" s="203" t="s">
        <v>790</v>
      </c>
      <c r="S182" s="203" t="s">
        <v>791</v>
      </c>
      <c r="T182" s="203"/>
      <c r="U182" s="198"/>
      <c r="V182" s="198"/>
      <c r="W182" s="198"/>
      <c r="X182" s="198"/>
      <c r="Y182" s="198"/>
      <c r="Z182" s="202" t="str">
        <f t="shared" si="0"/>
        <v>RLOM DistributionChamberElements</v>
      </c>
      <c r="AA182" s="172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</row>
    <row r="183" spans="1:40" ht="27" customHeight="1">
      <c r="A183" s="190">
        <v>3</v>
      </c>
      <c r="B183" s="190" t="s">
        <v>538</v>
      </c>
      <c r="C183" s="190">
        <v>31</v>
      </c>
      <c r="D183" s="191" t="s">
        <v>1151</v>
      </c>
      <c r="E183" s="192">
        <v>314</v>
      </c>
      <c r="F183" s="192" t="s">
        <v>1356</v>
      </c>
      <c r="G183" s="191" t="s">
        <v>1358</v>
      </c>
      <c r="H183" s="222" t="str">
        <f>HYPERLINK("http://bsdd.buildingsmart.org/#concept/details/3vHaOCoT0Hsm00051Mm008","3vHaOCoT0Hsm00051Mm008")</f>
        <v>3vHaOCoT0Hsm00051Mm008</v>
      </c>
      <c r="I183" s="123" t="s">
        <v>1361</v>
      </c>
      <c r="J183" s="195" t="s">
        <v>3510</v>
      </c>
      <c r="K183" s="191" t="s">
        <v>1362</v>
      </c>
      <c r="L183" s="249" t="s">
        <v>3511</v>
      </c>
      <c r="M183" s="198"/>
      <c r="N183" s="203" t="s">
        <v>1370</v>
      </c>
      <c r="O183" s="203" t="s">
        <v>1361</v>
      </c>
      <c r="P183" s="191" t="s">
        <v>1372</v>
      </c>
      <c r="Q183" s="203" t="s">
        <v>986</v>
      </c>
      <c r="R183" s="203" t="s">
        <v>987</v>
      </c>
      <c r="S183" s="203" t="s">
        <v>1380</v>
      </c>
      <c r="T183" s="203"/>
      <c r="U183" s="198"/>
      <c r="V183" s="198"/>
      <c r="W183" s="198"/>
      <c r="X183" s="198"/>
      <c r="Y183" s="198"/>
      <c r="Z183" s="202" t="str">
        <f t="shared" si="0"/>
        <v>RLOM Valves</v>
      </c>
      <c r="AA183" s="172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</row>
    <row r="184" spans="1:40" ht="27" customHeight="1">
      <c r="A184" s="190">
        <v>3</v>
      </c>
      <c r="B184" s="190" t="s">
        <v>538</v>
      </c>
      <c r="C184" s="190">
        <v>31</v>
      </c>
      <c r="D184" s="191" t="s">
        <v>1151</v>
      </c>
      <c r="E184" s="192">
        <v>314</v>
      </c>
      <c r="F184" s="192" t="s">
        <v>1356</v>
      </c>
      <c r="G184" s="191" t="s">
        <v>1358</v>
      </c>
      <c r="H184" s="222" t="str">
        <f>HYPERLINK("http://bsdd.buildingsmart.org/#concept/details/3f4Hs1jGL9Og70jld0OI2j","3f4Hs1jGL9Og70jld0OI2j")</f>
        <v>3f4Hs1jGL9Og70jld0OI2j</v>
      </c>
      <c r="I184" s="123" t="s">
        <v>4918</v>
      </c>
      <c r="J184" s="195" t="s">
        <v>3526</v>
      </c>
      <c r="K184" s="191" t="s">
        <v>1391</v>
      </c>
      <c r="L184" s="247" t="str">
        <f ca="1">IFERROR(__xludf.DUMMYFUNCTION(GOOGLETRANSLATE(J184,"no","en")),"mixer with eyewash")</f>
        <v>mixer with eyewash</v>
      </c>
      <c r="M184" s="198"/>
      <c r="N184" s="203" t="s">
        <v>1370</v>
      </c>
      <c r="O184" s="203" t="s">
        <v>1361</v>
      </c>
      <c r="P184" s="191" t="s">
        <v>1372</v>
      </c>
      <c r="Q184" s="203" t="s">
        <v>986</v>
      </c>
      <c r="R184" s="203" t="s">
        <v>987</v>
      </c>
      <c r="S184" s="203" t="s">
        <v>1380</v>
      </c>
      <c r="T184" s="203"/>
      <c r="U184" s="198"/>
      <c r="V184" s="198"/>
      <c r="W184" s="198"/>
      <c r="X184" s="198"/>
      <c r="Y184" s="198"/>
      <c r="Z184" s="202" t="str">
        <f t="shared" si="0"/>
        <v>RLOM Valves</v>
      </c>
      <c r="AA184" s="172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</row>
    <row r="185" spans="1:40" ht="27" customHeight="1">
      <c r="A185" s="190">
        <v>3</v>
      </c>
      <c r="B185" s="190" t="s">
        <v>538</v>
      </c>
      <c r="C185" s="190">
        <v>31</v>
      </c>
      <c r="D185" s="191" t="s">
        <v>1151</v>
      </c>
      <c r="E185" s="192">
        <v>314</v>
      </c>
      <c r="F185" s="192" t="s">
        <v>1356</v>
      </c>
      <c r="G185" s="191" t="s">
        <v>1358</v>
      </c>
      <c r="H185" s="222" t="str">
        <f>HYPERLINK("http://bsdd.buildingsmart.org/#concept/details/0S7EnC3CfBn8wNMSpFl97g","0S7EnC3CfBn8wNMSpFl97g")</f>
        <v>0S7EnC3CfBn8wNMSpFl97g</v>
      </c>
      <c r="I185" s="123" t="s">
        <v>1399</v>
      </c>
      <c r="J185" s="195" t="s">
        <v>3536</v>
      </c>
      <c r="K185" s="191" t="s">
        <v>1400</v>
      </c>
      <c r="L185" s="249" t="s">
        <v>3511</v>
      </c>
      <c r="M185" s="198"/>
      <c r="N185" s="203" t="s">
        <v>1370</v>
      </c>
      <c r="O185" s="203" t="s">
        <v>1361</v>
      </c>
      <c r="P185" s="191" t="s">
        <v>1372</v>
      </c>
      <c r="Q185" s="203" t="s">
        <v>986</v>
      </c>
      <c r="R185" s="203" t="s">
        <v>987</v>
      </c>
      <c r="S185" s="203" t="s">
        <v>1380</v>
      </c>
      <c r="T185" s="203"/>
      <c r="U185" s="198"/>
      <c r="V185" s="198"/>
      <c r="W185" s="198"/>
      <c r="X185" s="198"/>
      <c r="Y185" s="198"/>
      <c r="Z185" s="202" t="str">
        <f t="shared" si="0"/>
        <v>RLOM Valves</v>
      </c>
      <c r="AA185" s="172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</row>
    <row r="186" spans="1:40" ht="27" customHeight="1">
      <c r="A186" s="190">
        <v>3</v>
      </c>
      <c r="B186" s="190" t="s">
        <v>538</v>
      </c>
      <c r="C186" s="190">
        <v>31</v>
      </c>
      <c r="D186" s="191" t="s">
        <v>1151</v>
      </c>
      <c r="E186" s="192">
        <v>314</v>
      </c>
      <c r="F186" s="192" t="s">
        <v>1356</v>
      </c>
      <c r="G186" s="191" t="s">
        <v>1358</v>
      </c>
      <c r="H186" s="222" t="str">
        <f>HYPERLINK("http://bsdd.buildingsmart.org/#concept/details/2GX86nTrD5$wrlGkGNFd6k","2GX86nTrD5$wrlGkGNFd6k")</f>
        <v>2GX86nTrD5$wrlGkGNFd6k</v>
      </c>
      <c r="I186" s="123" t="s">
        <v>1404</v>
      </c>
      <c r="J186" s="195" t="s">
        <v>3540</v>
      </c>
      <c r="K186" s="191"/>
      <c r="L186" s="249" t="s">
        <v>3541</v>
      </c>
      <c r="M186" s="198"/>
      <c r="N186" s="203" t="s">
        <v>1337</v>
      </c>
      <c r="O186" s="199" t="s">
        <v>1338</v>
      </c>
      <c r="P186" s="191" t="s">
        <v>1339</v>
      </c>
      <c r="Q186" s="203" t="s">
        <v>789</v>
      </c>
      <c r="R186" s="203" t="s">
        <v>790</v>
      </c>
      <c r="S186" s="203" t="s">
        <v>791</v>
      </c>
      <c r="T186" s="203"/>
      <c r="U186" s="198"/>
      <c r="V186" s="198"/>
      <c r="W186" s="198"/>
      <c r="X186" s="198"/>
      <c r="Y186" s="198"/>
      <c r="Z186" s="202" t="str">
        <f t="shared" si="0"/>
        <v>RLOM DistributionChamberElements</v>
      </c>
      <c r="AA186" s="172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</row>
    <row r="187" spans="1:40" ht="27" customHeight="1">
      <c r="A187" s="190">
        <v>3</v>
      </c>
      <c r="B187" s="190" t="s">
        <v>538</v>
      </c>
      <c r="C187" s="190">
        <v>31</v>
      </c>
      <c r="D187" s="191" t="s">
        <v>1151</v>
      </c>
      <c r="E187" s="192">
        <v>314</v>
      </c>
      <c r="F187" s="192" t="s">
        <v>1356</v>
      </c>
      <c r="G187" s="191" t="s">
        <v>1358</v>
      </c>
      <c r="H187" s="222" t="str">
        <f>HYPERLINK("http://bsdd.buildingsmart.org/#concept/details/3vHWKqoT0Hsm00051Mm008","3vHWKqoT0Hsm00051Mm008")</f>
        <v>3vHWKqoT0Hsm00051Mm008</v>
      </c>
      <c r="I187" s="123" t="s">
        <v>4919</v>
      </c>
      <c r="J187" s="195" t="s">
        <v>3547</v>
      </c>
      <c r="K187" s="191" t="s">
        <v>1426</v>
      </c>
      <c r="L187" s="249" t="s">
        <v>3549</v>
      </c>
      <c r="M187" s="198"/>
      <c r="N187" s="203" t="s">
        <v>1428</v>
      </c>
      <c r="O187" s="203" t="s">
        <v>1435</v>
      </c>
      <c r="P187" s="191" t="s">
        <v>1436</v>
      </c>
      <c r="Q187" s="203" t="s">
        <v>986</v>
      </c>
      <c r="R187" s="203" t="s">
        <v>987</v>
      </c>
      <c r="S187" s="203" t="s">
        <v>1437</v>
      </c>
      <c r="T187" s="203"/>
      <c r="U187" s="198"/>
      <c r="V187" s="198"/>
      <c r="W187" s="198"/>
      <c r="X187" s="198"/>
      <c r="Y187" s="198"/>
      <c r="Z187" s="202" t="str">
        <f t="shared" si="0"/>
        <v>RLOM Valves</v>
      </c>
      <c r="AA187" s="172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</row>
    <row r="188" spans="1:40" ht="27" customHeight="1">
      <c r="A188" s="190">
        <v>3</v>
      </c>
      <c r="B188" s="190" t="s">
        <v>538</v>
      </c>
      <c r="C188" s="190">
        <v>31</v>
      </c>
      <c r="D188" s="191" t="s">
        <v>1151</v>
      </c>
      <c r="E188" s="192">
        <v>314</v>
      </c>
      <c r="F188" s="192" t="s">
        <v>1356</v>
      </c>
      <c r="G188" s="191" t="s">
        <v>1358</v>
      </c>
      <c r="H188" s="222" t="str">
        <f>HYPERLINK("http://bsdd.buildingsmart.org/#concept/details/1AdBcBzXzA5Bjh3ynJfKW6","1AdBcBzXzA5Bjh3ynJfKW6")</f>
        <v>1AdBcBzXzA5Bjh3ynJfKW6</v>
      </c>
      <c r="I188" s="123" t="s">
        <v>4920</v>
      </c>
      <c r="J188" s="195" t="s">
        <v>3553</v>
      </c>
      <c r="K188" s="191" t="s">
        <v>1440</v>
      </c>
      <c r="L188" s="249" t="s">
        <v>3556</v>
      </c>
      <c r="M188" s="198"/>
      <c r="N188" s="203" t="s">
        <v>1443</v>
      </c>
      <c r="O188" s="203" t="s">
        <v>1444</v>
      </c>
      <c r="P188" s="191"/>
      <c r="Q188" s="203" t="s">
        <v>986</v>
      </c>
      <c r="R188" s="203" t="s">
        <v>987</v>
      </c>
      <c r="S188" s="203" t="s">
        <v>1446</v>
      </c>
      <c r="T188" s="203" t="s">
        <v>1448</v>
      </c>
      <c r="U188" s="198"/>
      <c r="V188" s="198"/>
      <c r="W188" s="198"/>
      <c r="X188" s="198"/>
      <c r="Y188" s="198"/>
      <c r="Z188" s="202" t="str">
        <f t="shared" si="0"/>
        <v>RLOM Valves</v>
      </c>
      <c r="AA188" s="172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</row>
    <row r="189" spans="1:40" ht="27" customHeight="1">
      <c r="A189" s="190">
        <v>3</v>
      </c>
      <c r="B189" s="190" t="s">
        <v>538</v>
      </c>
      <c r="C189" s="190">
        <v>31</v>
      </c>
      <c r="D189" s="191" t="s">
        <v>1151</v>
      </c>
      <c r="E189" s="192">
        <v>314</v>
      </c>
      <c r="F189" s="192" t="s">
        <v>1356</v>
      </c>
      <c r="G189" s="191" t="s">
        <v>1358</v>
      </c>
      <c r="H189" s="222" t="str">
        <f>HYPERLINK("http://bsdd.buildingsmart.org/#concept/details/1Om_jVuavFCAK3tkjj3$dI","1Om_jVuavFCAK3tkjj3$dI")</f>
        <v>1Om_jVuavFCAK3tkjj3$dI</v>
      </c>
      <c r="I189" s="123" t="s">
        <v>4921</v>
      </c>
      <c r="J189" s="195" t="s">
        <v>3567</v>
      </c>
      <c r="K189" s="191" t="s">
        <v>1454</v>
      </c>
      <c r="L189" s="249" t="s">
        <v>3568</v>
      </c>
      <c r="M189" s="198"/>
      <c r="N189" s="203" t="s">
        <v>1443</v>
      </c>
      <c r="O189" s="203" t="s">
        <v>1444</v>
      </c>
      <c r="P189" s="191"/>
      <c r="Q189" s="203" t="s">
        <v>986</v>
      </c>
      <c r="R189" s="203" t="s">
        <v>987</v>
      </c>
      <c r="S189" s="203" t="s">
        <v>1446</v>
      </c>
      <c r="T189" s="203" t="s">
        <v>1458</v>
      </c>
      <c r="U189" s="198"/>
      <c r="V189" s="198"/>
      <c r="W189" s="198"/>
      <c r="X189" s="198"/>
      <c r="Y189" s="198"/>
      <c r="Z189" s="202" t="str">
        <f t="shared" si="0"/>
        <v>RLOM Valves</v>
      </c>
      <c r="AA189" s="172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</row>
    <row r="190" spans="1:40" ht="27" customHeight="1">
      <c r="A190" s="190">
        <v>3</v>
      </c>
      <c r="B190" s="190" t="s">
        <v>538</v>
      </c>
      <c r="C190" s="190">
        <v>31</v>
      </c>
      <c r="D190" s="191" t="s">
        <v>1151</v>
      </c>
      <c r="E190" s="192">
        <v>314</v>
      </c>
      <c r="F190" s="192" t="s">
        <v>1356</v>
      </c>
      <c r="G190" s="191" t="s">
        <v>1358</v>
      </c>
      <c r="H190" s="222" t="str">
        <f>HYPERLINK("http://bsdd.buildingsmart.org/#concept/details/11$7PzCX9A3wk0307ECOsY","11$7PzCX9A3wk0307ECOsY")</f>
        <v>11$7PzCX9A3wk0307ECOsY</v>
      </c>
      <c r="I190" s="123" t="s">
        <v>4922</v>
      </c>
      <c r="J190" s="195" t="s">
        <v>3572</v>
      </c>
      <c r="K190" s="191" t="s">
        <v>1465</v>
      </c>
      <c r="L190" s="249" t="s">
        <v>3573</v>
      </c>
      <c r="M190" s="198"/>
      <c r="N190" s="203" t="s">
        <v>1443</v>
      </c>
      <c r="O190" s="203" t="s">
        <v>1444</v>
      </c>
      <c r="P190" s="191"/>
      <c r="Q190" s="203" t="s">
        <v>986</v>
      </c>
      <c r="R190" s="203" t="s">
        <v>987</v>
      </c>
      <c r="S190" s="203" t="s">
        <v>1446</v>
      </c>
      <c r="T190" s="203"/>
      <c r="U190" s="198"/>
      <c r="V190" s="198"/>
      <c r="W190" s="198"/>
      <c r="X190" s="198"/>
      <c r="Y190" s="198"/>
      <c r="Z190" s="202" t="str">
        <f t="shared" si="0"/>
        <v>RLOM Valves</v>
      </c>
      <c r="AA190" s="172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</row>
    <row r="191" spans="1:40" ht="27" customHeight="1">
      <c r="A191" s="190">
        <v>3</v>
      </c>
      <c r="B191" s="190" t="s">
        <v>538</v>
      </c>
      <c r="C191" s="190">
        <v>31</v>
      </c>
      <c r="D191" s="191" t="s">
        <v>1151</v>
      </c>
      <c r="E191" s="192">
        <v>314</v>
      </c>
      <c r="F191" s="192" t="s">
        <v>1356</v>
      </c>
      <c r="G191" s="191" t="s">
        <v>1358</v>
      </c>
      <c r="H191" s="222" t="str">
        <f>HYPERLINK("http://bsdd.buildingsmart.org/#concept/details/2cA4zASJzEUe43oO8s0nfk","2cA4zASJzEUe43oO8s0nfk")</f>
        <v>2cA4zASJzEUe43oO8s0nfk</v>
      </c>
      <c r="I191" s="123" t="s">
        <v>4923</v>
      </c>
      <c r="J191" s="195" t="s">
        <v>3578</v>
      </c>
      <c r="K191" s="191" t="s">
        <v>1475</v>
      </c>
      <c r="L191" s="249" t="s">
        <v>3573</v>
      </c>
      <c r="M191" s="198"/>
      <c r="N191" s="203" t="s">
        <v>1443</v>
      </c>
      <c r="O191" s="203" t="s">
        <v>1444</v>
      </c>
      <c r="P191" s="191"/>
      <c r="Q191" s="203" t="s">
        <v>986</v>
      </c>
      <c r="R191" s="203" t="s">
        <v>987</v>
      </c>
      <c r="S191" s="203" t="s">
        <v>1446</v>
      </c>
      <c r="T191" s="203" t="s">
        <v>1477</v>
      </c>
      <c r="U191" s="198"/>
      <c r="V191" s="198"/>
      <c r="W191" s="198"/>
      <c r="X191" s="198"/>
      <c r="Y191" s="198"/>
      <c r="Z191" s="202" t="str">
        <f t="shared" si="0"/>
        <v>RLOM Valves</v>
      </c>
      <c r="AA191" s="172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</row>
    <row r="192" spans="1:40" ht="27" customHeight="1">
      <c r="A192" s="190">
        <v>3</v>
      </c>
      <c r="B192" s="190" t="s">
        <v>538</v>
      </c>
      <c r="C192" s="190">
        <v>31</v>
      </c>
      <c r="D192" s="191" t="s">
        <v>1151</v>
      </c>
      <c r="E192" s="192">
        <v>314</v>
      </c>
      <c r="F192" s="192" t="s">
        <v>1356</v>
      </c>
      <c r="G192" s="191" t="s">
        <v>1358</v>
      </c>
      <c r="H192" s="222" t="str">
        <f>HYPERLINK("http://bsdd.buildingsmart.org/#concept/details/12SbGgRKn6c9BBHt4VrKUJ","12SbGgRKn6c9BBHt4VrKUJ")</f>
        <v>12SbGgRKn6c9BBHt4VrKUJ</v>
      </c>
      <c r="I192" s="123" t="s">
        <v>4924</v>
      </c>
      <c r="J192" s="195" t="s">
        <v>3586</v>
      </c>
      <c r="K192" s="191" t="s">
        <v>1481</v>
      </c>
      <c r="L192" s="249" t="s">
        <v>3587</v>
      </c>
      <c r="M192" s="198"/>
      <c r="N192" s="203" t="s">
        <v>1443</v>
      </c>
      <c r="O192" s="203" t="s">
        <v>1444</v>
      </c>
      <c r="P192" s="191"/>
      <c r="Q192" s="203" t="s">
        <v>986</v>
      </c>
      <c r="R192" s="203" t="s">
        <v>987</v>
      </c>
      <c r="S192" s="203" t="s">
        <v>1446</v>
      </c>
      <c r="T192" s="203" t="s">
        <v>1477</v>
      </c>
      <c r="U192" s="198"/>
      <c r="V192" s="198"/>
      <c r="W192" s="198"/>
      <c r="X192" s="198"/>
      <c r="Y192" s="198"/>
      <c r="Z192" s="202" t="str">
        <f t="shared" si="0"/>
        <v>RLOM Valves</v>
      </c>
      <c r="AA192" s="172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</row>
    <row r="193" spans="1:40" ht="27" customHeight="1">
      <c r="A193" s="190">
        <v>3</v>
      </c>
      <c r="B193" s="190" t="s">
        <v>538</v>
      </c>
      <c r="C193" s="190">
        <v>31</v>
      </c>
      <c r="D193" s="191" t="s">
        <v>1151</v>
      </c>
      <c r="E193" s="192">
        <v>314</v>
      </c>
      <c r="F193" s="192" t="s">
        <v>1356</v>
      </c>
      <c r="G193" s="191" t="s">
        <v>1358</v>
      </c>
      <c r="H193" s="222" t="str">
        <f>HYPERLINK("http://bsdd.buildingsmart.org/#concept/details/0AwVLdiHL8xeYYf8G9gtJW","0AwVLdiHL8xeYYf8G9gtJW")</f>
        <v>0AwVLdiHL8xeYYf8G9gtJW</v>
      </c>
      <c r="I193" s="123" t="s">
        <v>4925</v>
      </c>
      <c r="J193" s="195" t="s">
        <v>3597</v>
      </c>
      <c r="K193" s="191" t="s">
        <v>1440</v>
      </c>
      <c r="L193" s="249" t="s">
        <v>3556</v>
      </c>
      <c r="M193" s="198"/>
      <c r="N193" s="203" t="s">
        <v>1496</v>
      </c>
      <c r="O193" s="203" t="s">
        <v>1497</v>
      </c>
      <c r="P193" s="191"/>
      <c r="Q193" s="203" t="s">
        <v>986</v>
      </c>
      <c r="R193" s="203" t="s">
        <v>987</v>
      </c>
      <c r="S193" s="203" t="s">
        <v>1446</v>
      </c>
      <c r="T193" s="203" t="s">
        <v>3598</v>
      </c>
      <c r="U193" s="198"/>
      <c r="V193" s="198"/>
      <c r="W193" s="198"/>
      <c r="X193" s="198"/>
      <c r="Y193" s="198"/>
      <c r="Z193" s="202" t="str">
        <f t="shared" si="0"/>
        <v>RLOM Valves</v>
      </c>
      <c r="AA193" s="172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</row>
    <row r="194" spans="1:40" ht="27" customHeight="1">
      <c r="A194" s="190">
        <v>3</v>
      </c>
      <c r="B194" s="190" t="s">
        <v>538</v>
      </c>
      <c r="C194" s="190">
        <v>31</v>
      </c>
      <c r="D194" s="191" t="s">
        <v>1151</v>
      </c>
      <c r="E194" s="192">
        <v>314</v>
      </c>
      <c r="F194" s="192" t="s">
        <v>1356</v>
      </c>
      <c r="G194" s="191" t="s">
        <v>1358</v>
      </c>
      <c r="H194" s="222" t="str">
        <f>HYPERLINK("http://bsdd.buildingsmart.org/#concept/details/0yI$M9X6jAgfDpNlsVxVcx","0yI$M9X6jAgfDpNlsVxVcx")</f>
        <v>0yI$M9X6jAgfDpNlsVxVcx</v>
      </c>
      <c r="I194" s="123" t="s">
        <v>4921</v>
      </c>
      <c r="J194" s="195" t="s">
        <v>3567</v>
      </c>
      <c r="K194" s="191" t="s">
        <v>1454</v>
      </c>
      <c r="L194" s="249" t="s">
        <v>3568</v>
      </c>
      <c r="M194" s="198"/>
      <c r="N194" s="203" t="s">
        <v>1496</v>
      </c>
      <c r="O194" s="203" t="s">
        <v>1497</v>
      </c>
      <c r="P194" s="191"/>
      <c r="Q194" s="203" t="s">
        <v>986</v>
      </c>
      <c r="R194" s="203" t="s">
        <v>987</v>
      </c>
      <c r="S194" s="203" t="s">
        <v>1446</v>
      </c>
      <c r="T194" s="203" t="s">
        <v>3606</v>
      </c>
      <c r="U194" s="198"/>
      <c r="V194" s="198"/>
      <c r="W194" s="198"/>
      <c r="X194" s="198"/>
      <c r="Y194" s="198"/>
      <c r="Z194" s="202" t="str">
        <f t="shared" si="0"/>
        <v>RLOM Valves</v>
      </c>
      <c r="AA194" s="172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</row>
    <row r="195" spans="1:40" ht="21.75" customHeight="1">
      <c r="A195" s="190">
        <v>3</v>
      </c>
      <c r="B195" s="190" t="s">
        <v>538</v>
      </c>
      <c r="C195" s="190">
        <v>36</v>
      </c>
      <c r="D195" s="191" t="s">
        <v>3431</v>
      </c>
      <c r="E195" s="192">
        <v>314</v>
      </c>
      <c r="F195" s="192" t="s">
        <v>913</v>
      </c>
      <c r="G195" s="193"/>
      <c r="H195" s="208" t="str">
        <f>HYPERLINK("http://bsdd.buildingsmart.org/#concept/details/2V4AB6Q0DAJOAmWHm82kq0","2V4AB6Q0DAJOAmWHm82kq0")</f>
        <v>2V4AB6Q0DAJOAmWHm82kq0</v>
      </c>
      <c r="I195" s="225"/>
      <c r="J195" s="209" t="s">
        <v>4754</v>
      </c>
      <c r="K195" s="206" t="s">
        <v>3747</v>
      </c>
      <c r="L195" s="249" t="str">
        <f ca="1">IFERROR(__xludf.DUMMYFUNCTION(GOOGLETRANSLATE(J195,"no","en")),"flow switch")</f>
        <v>flow switch</v>
      </c>
      <c r="M195" s="198"/>
      <c r="N195" s="199" t="s">
        <v>1053</v>
      </c>
      <c r="O195" s="199" t="s">
        <v>1054</v>
      </c>
      <c r="P195" s="206"/>
      <c r="Q195" s="203" t="s">
        <v>3515</v>
      </c>
      <c r="R195" s="203" t="s">
        <v>3516</v>
      </c>
      <c r="S195" s="203" t="s">
        <v>3748</v>
      </c>
      <c r="T195" s="203"/>
      <c r="U195" s="198"/>
      <c r="V195" s="198"/>
      <c r="W195" s="196"/>
      <c r="X195" s="196"/>
      <c r="Y195" s="196"/>
      <c r="Z195" s="202" t="str">
        <f>"RLOM " &amp;RIGHT(Q195, LEN(Q195)-3)&amp;"s"</f>
        <v>RLOM Dampers</v>
      </c>
      <c r="AA195" s="173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4"/>
    </row>
    <row r="196" spans="1:40" ht="27" customHeight="1">
      <c r="A196" s="190">
        <v>3</v>
      </c>
      <c r="B196" s="190" t="s">
        <v>538</v>
      </c>
      <c r="C196" s="190">
        <v>31</v>
      </c>
      <c r="D196" s="191" t="s">
        <v>1151</v>
      </c>
      <c r="E196" s="192">
        <v>314</v>
      </c>
      <c r="F196" s="192" t="s">
        <v>1356</v>
      </c>
      <c r="G196" s="191" t="s">
        <v>1358</v>
      </c>
      <c r="H196" s="222" t="str">
        <f>HYPERLINK("http://bsdd.buildingsmart.org/#concept/details/3vHYAKoT0Hsm00051Mm008","3vHYAKoT0Hsm00051Mm008")</f>
        <v>3vHYAKoT0Hsm00051Mm008</v>
      </c>
      <c r="I196" s="123" t="s">
        <v>4926</v>
      </c>
      <c r="J196" s="195" t="s">
        <v>3612</v>
      </c>
      <c r="K196" s="191" t="s">
        <v>1562</v>
      </c>
      <c r="L196" s="249" t="s">
        <v>3613</v>
      </c>
      <c r="M196" s="198"/>
      <c r="N196" s="203" t="s">
        <v>1565</v>
      </c>
      <c r="O196" s="203" t="s">
        <v>1566</v>
      </c>
      <c r="P196" s="191"/>
      <c r="Q196" s="203" t="s">
        <v>986</v>
      </c>
      <c r="R196" s="203" t="s">
        <v>987</v>
      </c>
      <c r="S196" s="203" t="s">
        <v>1567</v>
      </c>
      <c r="T196" s="203" t="s">
        <v>1477</v>
      </c>
      <c r="U196" s="198"/>
      <c r="V196" s="198"/>
      <c r="W196" s="198"/>
      <c r="X196" s="198"/>
      <c r="Y196" s="198"/>
      <c r="Z196" s="202" t="str">
        <f t="shared" si="0"/>
        <v>RLOM Valves</v>
      </c>
      <c r="AA196" s="172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</row>
    <row r="197" spans="1:40" ht="27" customHeight="1">
      <c r="A197" s="190">
        <v>3</v>
      </c>
      <c r="B197" s="190" t="s">
        <v>538</v>
      </c>
      <c r="C197" s="190">
        <v>31</v>
      </c>
      <c r="D197" s="191" t="s">
        <v>1151</v>
      </c>
      <c r="E197" s="192">
        <v>314</v>
      </c>
      <c r="F197" s="192" t="s">
        <v>1356</v>
      </c>
      <c r="G197" s="191" t="s">
        <v>1358</v>
      </c>
      <c r="H197" s="222" t="str">
        <f>HYPERLINK("http://bsdd.buildingsmart.org/#concept/details/3vHRPWoT0Hsm00051Mm008","3vHRPWoT0Hsm00051Mm008")</f>
        <v>3vHRPWoT0Hsm00051Mm008</v>
      </c>
      <c r="I197" s="123" t="s">
        <v>1569</v>
      </c>
      <c r="J197" s="195" t="s">
        <v>3617</v>
      </c>
      <c r="K197" s="191" t="s">
        <v>1570</v>
      </c>
      <c r="L197" s="249" t="s">
        <v>3549</v>
      </c>
      <c r="M197" s="198"/>
      <c r="N197" s="203" t="s">
        <v>1428</v>
      </c>
      <c r="O197" s="203" t="s">
        <v>1435</v>
      </c>
      <c r="P197" s="191" t="s">
        <v>1436</v>
      </c>
      <c r="Q197" s="203" t="s">
        <v>986</v>
      </c>
      <c r="R197" s="203" t="s">
        <v>987</v>
      </c>
      <c r="S197" s="203" t="s">
        <v>1437</v>
      </c>
      <c r="T197" s="203"/>
      <c r="U197" s="198"/>
      <c r="V197" s="198"/>
      <c r="W197" s="198"/>
      <c r="X197" s="198"/>
      <c r="Y197" s="198"/>
      <c r="Z197" s="202" t="str">
        <f t="shared" si="0"/>
        <v>RLOM Valves</v>
      </c>
      <c r="AA197" s="172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</row>
    <row r="198" spans="1:40" ht="27" customHeight="1">
      <c r="A198" s="190">
        <v>3</v>
      </c>
      <c r="B198" s="190" t="s">
        <v>538</v>
      </c>
      <c r="C198" s="190">
        <v>31</v>
      </c>
      <c r="D198" s="191" t="s">
        <v>1151</v>
      </c>
      <c r="E198" s="192">
        <v>314</v>
      </c>
      <c r="F198" s="192" t="s">
        <v>1356</v>
      </c>
      <c r="G198" s="191" t="s">
        <v>1358</v>
      </c>
      <c r="H198" s="222" t="str">
        <f>HYPERLINK("http://bsdd.buildingsmart.org/#concept/details/3vHJeKoT0Hsm00051Mm008","3vHJeKoT0Hsm00051Mm008")</f>
        <v>3vHJeKoT0Hsm00051Mm008</v>
      </c>
      <c r="I198" s="123" t="s">
        <v>1595</v>
      </c>
      <c r="J198" s="195" t="s">
        <v>3621</v>
      </c>
      <c r="K198" s="191" t="s">
        <v>1595</v>
      </c>
      <c r="L198" s="249" t="s">
        <v>5230</v>
      </c>
      <c r="M198" s="198"/>
      <c r="N198" s="203" t="s">
        <v>1370</v>
      </c>
      <c r="O198" s="203" t="s">
        <v>1361</v>
      </c>
      <c r="P198" s="191" t="s">
        <v>1372</v>
      </c>
      <c r="Q198" s="203" t="s">
        <v>986</v>
      </c>
      <c r="R198" s="203" t="s">
        <v>987</v>
      </c>
      <c r="S198" s="203" t="s">
        <v>1380</v>
      </c>
      <c r="T198" s="203"/>
      <c r="U198" s="198"/>
      <c r="V198" s="198"/>
      <c r="W198" s="198"/>
      <c r="X198" s="198"/>
      <c r="Y198" s="198"/>
      <c r="Z198" s="202" t="str">
        <f t="shared" si="0"/>
        <v>RLOM Valves</v>
      </c>
      <c r="AA198" s="172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</row>
    <row r="199" spans="1:40" ht="27" customHeight="1">
      <c r="A199" s="190">
        <v>3</v>
      </c>
      <c r="B199" s="190" t="s">
        <v>538</v>
      </c>
      <c r="C199" s="190">
        <v>31</v>
      </c>
      <c r="D199" s="191" t="s">
        <v>1151</v>
      </c>
      <c r="E199" s="192">
        <v>314</v>
      </c>
      <c r="F199" s="192" t="s">
        <v>1356</v>
      </c>
      <c r="G199" s="191" t="s">
        <v>1358</v>
      </c>
      <c r="H199" s="222" t="str">
        <f>HYPERLINK("http://bsdd.buildingsmart.org/#concept/details/3zWEUMC_fFeOQql8Y5QrlU","3zWEUMC_fFeOQql8Y5QrlU")</f>
        <v>3zWEUMC_fFeOQql8Y5QrlU</v>
      </c>
      <c r="I199" s="123" t="s">
        <v>4927</v>
      </c>
      <c r="J199" s="195" t="s">
        <v>3626</v>
      </c>
      <c r="K199" s="191"/>
      <c r="L199" s="249" t="s">
        <v>3627</v>
      </c>
      <c r="M199" s="198"/>
      <c r="N199" s="203"/>
      <c r="O199" s="203"/>
      <c r="P199" s="191"/>
      <c r="Q199" s="203" t="s">
        <v>986</v>
      </c>
      <c r="R199" s="203" t="s">
        <v>987</v>
      </c>
      <c r="S199" s="203" t="s">
        <v>1437</v>
      </c>
      <c r="T199" s="203"/>
      <c r="U199" s="198"/>
      <c r="V199" s="198"/>
      <c r="W199" s="198"/>
      <c r="X199" s="198"/>
      <c r="Y199" s="198"/>
      <c r="Z199" s="202" t="str">
        <f t="shared" si="0"/>
        <v>RLOM Valves</v>
      </c>
      <c r="AA199" s="172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</row>
    <row r="200" spans="1:40" ht="27" customHeight="1">
      <c r="A200" s="190">
        <v>3</v>
      </c>
      <c r="B200" s="190" t="s">
        <v>538</v>
      </c>
      <c r="C200" s="190">
        <v>31</v>
      </c>
      <c r="D200" s="191" t="s">
        <v>1151</v>
      </c>
      <c r="E200" s="192">
        <v>314</v>
      </c>
      <c r="F200" s="192" t="s">
        <v>1356</v>
      </c>
      <c r="G200" s="191" t="s">
        <v>1358</v>
      </c>
      <c r="H200" s="222" t="str">
        <f>HYPERLINK("http://bsdd.buildingsmart.org/#concept/details/2JDguXBTf3awJrWW3rd7xz","2JDguXBTf3awJrWW3rd7xz")</f>
        <v>2JDguXBTf3awJrWW3rd7xz</v>
      </c>
      <c r="I200" s="123" t="s">
        <v>4928</v>
      </c>
      <c r="J200" s="195" t="s">
        <v>3636</v>
      </c>
      <c r="K200" s="191" t="s">
        <v>1607</v>
      </c>
      <c r="L200" s="250" t="str">
        <f t="shared" ref="L200:L212" ca="1" si="8">IFERROR(__xludf.DUMMYFUNCTION(GOOGLETRANSLATE(J200,"no","en")),"receivers with flushing wagon")</f>
        <v>receivers with flushing wagon</v>
      </c>
      <c r="M200" s="198"/>
      <c r="N200" s="203" t="s">
        <v>1428</v>
      </c>
      <c r="O200" s="203" t="s">
        <v>1435</v>
      </c>
      <c r="P200" s="191" t="s">
        <v>1436</v>
      </c>
      <c r="Q200" s="203" t="s">
        <v>986</v>
      </c>
      <c r="R200" s="203" t="s">
        <v>987</v>
      </c>
      <c r="S200" s="203" t="s">
        <v>1437</v>
      </c>
      <c r="T200" s="203"/>
      <c r="U200" s="198"/>
      <c r="V200" s="198"/>
      <c r="W200" s="198"/>
      <c r="X200" s="198"/>
      <c r="Y200" s="198"/>
      <c r="Z200" s="202" t="str">
        <f t="shared" si="0"/>
        <v>RLOM Valves</v>
      </c>
      <c r="AA200" s="172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</row>
    <row r="201" spans="1:40" ht="27" customHeight="1">
      <c r="A201" s="190">
        <v>3</v>
      </c>
      <c r="B201" s="190" t="s">
        <v>538</v>
      </c>
      <c r="C201" s="190">
        <v>31</v>
      </c>
      <c r="D201" s="191" t="s">
        <v>1151</v>
      </c>
      <c r="E201" s="192">
        <v>314</v>
      </c>
      <c r="F201" s="192" t="s">
        <v>1356</v>
      </c>
      <c r="G201" s="191" t="s">
        <v>1358</v>
      </c>
      <c r="H201" s="222" t="str">
        <f>HYPERLINK("http://bsdd.buildingsmart.org/#concept/details/3LSEFBYJ5FHAUKxJnjLtDY","3LSEFBYJ5FHAUKxJnjLtDY")</f>
        <v>3LSEFBYJ5FHAUKxJnjLtDY</v>
      </c>
      <c r="I201" s="123" t="s">
        <v>1625</v>
      </c>
      <c r="J201" s="195" t="s">
        <v>3660</v>
      </c>
      <c r="K201" s="191" t="s">
        <v>1628</v>
      </c>
      <c r="L201" s="250" t="str">
        <f t="shared" ca="1" si="8"/>
        <v>receivers with flushing wagon</v>
      </c>
      <c r="M201" s="198"/>
      <c r="N201" s="203" t="s">
        <v>1428</v>
      </c>
      <c r="O201" s="203" t="s">
        <v>1435</v>
      </c>
      <c r="P201" s="191" t="s">
        <v>1436</v>
      </c>
      <c r="Q201" s="203" t="s">
        <v>986</v>
      </c>
      <c r="R201" s="203" t="s">
        <v>987</v>
      </c>
      <c r="S201" s="203" t="s">
        <v>1437</v>
      </c>
      <c r="T201" s="203"/>
      <c r="U201" s="198"/>
      <c r="V201" s="198"/>
      <c r="W201" s="198"/>
      <c r="X201" s="198"/>
      <c r="Y201" s="198"/>
      <c r="Z201" s="202" t="str">
        <f t="shared" si="0"/>
        <v>RLOM Valves</v>
      </c>
      <c r="AA201" s="172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</row>
    <row r="202" spans="1:40" ht="27" customHeight="1">
      <c r="A202" s="190">
        <v>3</v>
      </c>
      <c r="B202" s="190" t="s">
        <v>538</v>
      </c>
      <c r="C202" s="190">
        <v>31</v>
      </c>
      <c r="D202" s="191" t="s">
        <v>1151</v>
      </c>
      <c r="E202" s="192">
        <v>314</v>
      </c>
      <c r="F202" s="192" t="s">
        <v>1356</v>
      </c>
      <c r="G202" s="191" t="s">
        <v>1358</v>
      </c>
      <c r="H202" s="222" t="str">
        <f>HYPERLINK("http://bsdd.buildingsmart.org/#concept/details/1KDQJD8xT4mhK_4yDM4091","1KDQJD8xT4mhK_4yDM4091")</f>
        <v>1KDQJD8xT4mhK_4yDM4091</v>
      </c>
      <c r="I202" s="123" t="s">
        <v>1635</v>
      </c>
      <c r="J202" s="195" t="s">
        <v>3669</v>
      </c>
      <c r="K202" s="191" t="s">
        <v>1636</v>
      </c>
      <c r="L202" s="250" t="str">
        <f t="shared" ca="1" si="8"/>
        <v>receivers with flushing wagon</v>
      </c>
      <c r="M202" s="198"/>
      <c r="N202" s="203" t="s">
        <v>1428</v>
      </c>
      <c r="O202" s="203" t="s">
        <v>1435</v>
      </c>
      <c r="P202" s="191" t="s">
        <v>1436</v>
      </c>
      <c r="Q202" s="203" t="s">
        <v>986</v>
      </c>
      <c r="R202" s="203" t="s">
        <v>987</v>
      </c>
      <c r="S202" s="203" t="s">
        <v>1641</v>
      </c>
      <c r="T202" s="203"/>
      <c r="U202" s="198"/>
      <c r="V202" s="198"/>
      <c r="W202" s="198"/>
      <c r="X202" s="198"/>
      <c r="Y202" s="198"/>
      <c r="Z202" s="202" t="str">
        <f t="shared" si="0"/>
        <v>RLOM Valves</v>
      </c>
      <c r="AA202" s="172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</row>
    <row r="203" spans="1:40" ht="78" customHeight="1">
      <c r="A203" s="190">
        <v>3</v>
      </c>
      <c r="B203" s="190" t="s">
        <v>538</v>
      </c>
      <c r="C203" s="190">
        <v>31</v>
      </c>
      <c r="D203" s="191" t="s">
        <v>1151</v>
      </c>
      <c r="E203" s="192">
        <v>315</v>
      </c>
      <c r="F203" s="192" t="s">
        <v>1642</v>
      </c>
      <c r="G203" s="191"/>
      <c r="H203" s="222" t="str">
        <f>HYPERLINK("http://bsdd.buildingsmart.org/#concept/details/3e$So2kBv5vu69R4YY9WFo","3e$So2kBv5vu69R4YY9WFo")</f>
        <v>3e$So2kBv5vu69R4YY9WFo</v>
      </c>
      <c r="I203" s="123" t="s">
        <v>1643</v>
      </c>
      <c r="J203" s="195" t="s">
        <v>3680</v>
      </c>
      <c r="K203" s="191" t="s">
        <v>1644</v>
      </c>
      <c r="L203" s="250" t="str">
        <f t="shared" ca="1" si="8"/>
        <v>receivers with flushing wagon</v>
      </c>
      <c r="M203" s="210"/>
      <c r="N203" s="203" t="s">
        <v>1645</v>
      </c>
      <c r="O203" s="203" t="s">
        <v>1646</v>
      </c>
      <c r="P203" s="191" t="s">
        <v>1647</v>
      </c>
      <c r="Q203" s="203" t="s">
        <v>1649</v>
      </c>
      <c r="R203" s="203" t="s">
        <v>1650</v>
      </c>
      <c r="S203" s="203" t="s">
        <v>1652</v>
      </c>
      <c r="T203" s="203"/>
      <c r="U203" s="200"/>
      <c r="V203" s="200"/>
      <c r="W203" s="226" t="s">
        <v>3684</v>
      </c>
      <c r="X203" s="226"/>
      <c r="Y203" s="226" t="s">
        <v>3697</v>
      </c>
      <c r="Z203" s="202" t="str">
        <f t="shared" si="0"/>
        <v>RLOM WasteTerminals</v>
      </c>
      <c r="AA203" s="172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</row>
    <row r="204" spans="1:40" ht="78" customHeight="1">
      <c r="A204" s="190">
        <v>3</v>
      </c>
      <c r="B204" s="190" t="s">
        <v>538</v>
      </c>
      <c r="C204" s="190">
        <v>31</v>
      </c>
      <c r="D204" s="191" t="s">
        <v>1151</v>
      </c>
      <c r="E204" s="192">
        <v>315</v>
      </c>
      <c r="F204" s="192" t="s">
        <v>1642</v>
      </c>
      <c r="G204" s="191"/>
      <c r="H204" s="222" t="str">
        <f>HYPERLINK("http://bsdd.buildingsmart.org/#concept/details/0IRuc0yx17iPG$QIy$Vdg9","0IRuc0yx17iPG$QIy$Vdg9")</f>
        <v>0IRuc0yx17iPG$QIy$Vdg9</v>
      </c>
      <c r="I204" s="123" t="s">
        <v>1653</v>
      </c>
      <c r="J204" s="195" t="s">
        <v>3705</v>
      </c>
      <c r="K204" s="191" t="s">
        <v>1654</v>
      </c>
      <c r="L204" s="250" t="str">
        <f t="shared" ca="1" si="8"/>
        <v>receivers with flushing wagon</v>
      </c>
      <c r="M204" s="210"/>
      <c r="N204" s="203" t="s">
        <v>1645</v>
      </c>
      <c r="O204" s="203" t="s">
        <v>1646</v>
      </c>
      <c r="P204" s="191" t="s">
        <v>1647</v>
      </c>
      <c r="Q204" s="203" t="s">
        <v>1649</v>
      </c>
      <c r="R204" s="203" t="s">
        <v>1650</v>
      </c>
      <c r="S204" s="203" t="s">
        <v>1652</v>
      </c>
      <c r="T204" s="203"/>
      <c r="U204" s="200"/>
      <c r="V204" s="200"/>
      <c r="W204" s="226" t="s">
        <v>3684</v>
      </c>
      <c r="X204" s="226"/>
      <c r="Y204" s="226" t="s">
        <v>3697</v>
      </c>
      <c r="Z204" s="202" t="str">
        <f t="shared" si="0"/>
        <v>RLOM WasteTerminals</v>
      </c>
      <c r="AA204" s="172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</row>
    <row r="205" spans="1:40" ht="78" customHeight="1">
      <c r="A205" s="190">
        <v>3</v>
      </c>
      <c r="B205" s="190" t="s">
        <v>538</v>
      </c>
      <c r="C205" s="190">
        <v>31</v>
      </c>
      <c r="D205" s="191" t="s">
        <v>1151</v>
      </c>
      <c r="E205" s="192">
        <v>315</v>
      </c>
      <c r="F205" s="192" t="s">
        <v>1642</v>
      </c>
      <c r="G205" s="191"/>
      <c r="H205" s="222" t="str">
        <f>HYPERLINK("http://bsdd.buildingsmart.org/#concept/details/2EtclhqIDDuhc57_KJlicq","2EtclhqIDDuhc57_KJlicq")</f>
        <v>2EtclhqIDDuhc57_KJlicq</v>
      </c>
      <c r="I205" s="123" t="s">
        <v>1658</v>
      </c>
      <c r="J205" s="195" t="s">
        <v>3714</v>
      </c>
      <c r="K205" s="191" t="s">
        <v>1654</v>
      </c>
      <c r="L205" s="250" t="str">
        <f t="shared" ca="1" si="8"/>
        <v>receivers with flushing wagon</v>
      </c>
      <c r="M205" s="210"/>
      <c r="N205" s="203" t="s">
        <v>1645</v>
      </c>
      <c r="O205" s="203" t="s">
        <v>1646</v>
      </c>
      <c r="P205" s="191" t="s">
        <v>1647</v>
      </c>
      <c r="Q205" s="203" t="s">
        <v>1649</v>
      </c>
      <c r="R205" s="203" t="s">
        <v>1650</v>
      </c>
      <c r="S205" s="203" t="s">
        <v>1652</v>
      </c>
      <c r="T205" s="203"/>
      <c r="U205" s="200"/>
      <c r="V205" s="200"/>
      <c r="W205" s="226" t="s">
        <v>3684</v>
      </c>
      <c r="X205" s="226"/>
      <c r="Y205" s="226" t="s">
        <v>3697</v>
      </c>
      <c r="Z205" s="202" t="str">
        <f t="shared" si="0"/>
        <v>RLOM WasteTerminals</v>
      </c>
      <c r="AA205" s="172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</row>
    <row r="206" spans="1:40" ht="64.5" customHeight="1">
      <c r="A206" s="190">
        <v>3</v>
      </c>
      <c r="B206" s="190" t="s">
        <v>538</v>
      </c>
      <c r="C206" s="190">
        <v>31</v>
      </c>
      <c r="D206" s="191" t="s">
        <v>1151</v>
      </c>
      <c r="E206" s="192">
        <v>315</v>
      </c>
      <c r="F206" s="192" t="s">
        <v>1642</v>
      </c>
      <c r="G206" s="191"/>
      <c r="H206" s="222" t="str">
        <f>HYPERLINK("http://bsdd.buildingsmart.org/#concept/details/3vHImYoT0Hsm00051Mm008","3vHImYoT0Hsm00051Mm008")</f>
        <v>3vHImYoT0Hsm00051Mm008</v>
      </c>
      <c r="I206" s="123" t="s">
        <v>1666</v>
      </c>
      <c r="J206" s="195" t="s">
        <v>3092</v>
      </c>
      <c r="K206" s="191"/>
      <c r="L206" s="250" t="str">
        <f t="shared" ca="1" si="8"/>
        <v>receivers with flushing wagon</v>
      </c>
      <c r="M206" s="210"/>
      <c r="N206" s="203" t="s">
        <v>1678</v>
      </c>
      <c r="O206" s="203" t="s">
        <v>1679</v>
      </c>
      <c r="P206" s="191"/>
      <c r="Q206" s="192" t="s">
        <v>1680</v>
      </c>
      <c r="R206" s="192" t="s">
        <v>1681</v>
      </c>
      <c r="S206" s="207" t="s">
        <v>1682</v>
      </c>
      <c r="T206" s="207" t="s">
        <v>1683</v>
      </c>
      <c r="U206" s="200"/>
      <c r="V206" s="200"/>
      <c r="W206" s="226" t="s">
        <v>3728</v>
      </c>
      <c r="X206" s="226"/>
      <c r="Y206" s="226" t="s">
        <v>3729</v>
      </c>
      <c r="Z206" s="202" t="str">
        <f t="shared" si="0"/>
        <v>RLOM SanitaryTerminals</v>
      </c>
      <c r="AA206" s="172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</row>
    <row r="207" spans="1:40" ht="64.5" customHeight="1">
      <c r="A207" s="190">
        <v>3</v>
      </c>
      <c r="B207" s="190" t="s">
        <v>538</v>
      </c>
      <c r="C207" s="190">
        <v>31</v>
      </c>
      <c r="D207" s="191" t="s">
        <v>1151</v>
      </c>
      <c r="E207" s="192">
        <v>315</v>
      </c>
      <c r="F207" s="192" t="s">
        <v>1642</v>
      </c>
      <c r="G207" s="191"/>
      <c r="H207" s="222" t="str">
        <f>HYPERLINK("http://bsdd.buildingsmart.org/#concept/details/3ElyYi629AMRtE5IE_ES9d","3ElyYi629AMRtE5IE_ES9d")</f>
        <v>3ElyYi629AMRtE5IE_ES9d</v>
      </c>
      <c r="I207" s="123" t="s">
        <v>1684</v>
      </c>
      <c r="J207" s="195" t="s">
        <v>3733</v>
      </c>
      <c r="K207" s="191"/>
      <c r="L207" s="250" t="str">
        <f t="shared" ca="1" si="8"/>
        <v>receivers with flushing wagon</v>
      </c>
      <c r="M207" s="210"/>
      <c r="N207" s="203" t="s">
        <v>1678</v>
      </c>
      <c r="O207" s="203" t="s">
        <v>1679</v>
      </c>
      <c r="P207" s="191"/>
      <c r="Q207" s="192" t="s">
        <v>1680</v>
      </c>
      <c r="R207" s="192" t="s">
        <v>1681</v>
      </c>
      <c r="S207" s="207" t="s">
        <v>1682</v>
      </c>
      <c r="T207" s="203" t="s">
        <v>1689</v>
      </c>
      <c r="U207" s="200"/>
      <c r="V207" s="200"/>
      <c r="W207" s="226" t="s">
        <v>3728</v>
      </c>
      <c r="X207" s="226"/>
      <c r="Y207" s="226" t="s">
        <v>3729</v>
      </c>
      <c r="Z207" s="202" t="str">
        <f t="shared" si="0"/>
        <v>RLOM SanitaryTerminals</v>
      </c>
      <c r="AA207" s="172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</row>
    <row r="208" spans="1:40" ht="64.5" customHeight="1">
      <c r="A208" s="190">
        <v>3</v>
      </c>
      <c r="B208" s="190" t="s">
        <v>538</v>
      </c>
      <c r="C208" s="190">
        <v>31</v>
      </c>
      <c r="D208" s="191" t="s">
        <v>1151</v>
      </c>
      <c r="E208" s="192">
        <v>315</v>
      </c>
      <c r="F208" s="192" t="s">
        <v>1642</v>
      </c>
      <c r="G208" s="191"/>
      <c r="H208" s="222" t="str">
        <f>HYPERLINK("http://bsdd.buildingsmart.org/#concept/details/3BS9McWzvDkfImxrMq78md","3BS9McWzvDkfImxrMq78md")</f>
        <v>3BS9McWzvDkfImxrMq78md</v>
      </c>
      <c r="I208" s="123" t="s">
        <v>1699</v>
      </c>
      <c r="J208" s="195" t="s">
        <v>3735</v>
      </c>
      <c r="K208" s="191"/>
      <c r="L208" s="250" t="str">
        <f t="shared" ca="1" si="8"/>
        <v>receivers with flushing wagon</v>
      </c>
      <c r="M208" s="210"/>
      <c r="N208" s="203" t="s">
        <v>1678</v>
      </c>
      <c r="O208" s="203" t="s">
        <v>1679</v>
      </c>
      <c r="P208" s="191"/>
      <c r="Q208" s="192" t="s">
        <v>1680</v>
      </c>
      <c r="R208" s="192" t="s">
        <v>1681</v>
      </c>
      <c r="S208" s="207" t="s">
        <v>1682</v>
      </c>
      <c r="T208" s="203" t="s">
        <v>1701</v>
      </c>
      <c r="U208" s="200"/>
      <c r="V208" s="200"/>
      <c r="W208" s="226" t="s">
        <v>3728</v>
      </c>
      <c r="X208" s="226"/>
      <c r="Y208" s="226" t="s">
        <v>3729</v>
      </c>
      <c r="Z208" s="202" t="str">
        <f t="shared" si="0"/>
        <v>RLOM SanitaryTerminals</v>
      </c>
      <c r="AA208" s="172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</row>
    <row r="209" spans="1:40" ht="64.5" customHeight="1">
      <c r="A209" s="190">
        <v>3</v>
      </c>
      <c r="B209" s="190" t="s">
        <v>538</v>
      </c>
      <c r="C209" s="190">
        <v>31</v>
      </c>
      <c r="D209" s="191" t="s">
        <v>1151</v>
      </c>
      <c r="E209" s="192">
        <v>315</v>
      </c>
      <c r="F209" s="192" t="s">
        <v>1642</v>
      </c>
      <c r="G209" s="191"/>
      <c r="H209" s="222" t="str">
        <f>HYPERLINK("http://bsdd.buildingsmart.org/#concept/details/2eEptgxmf4UQtCuM_XzZKA","2eEptgxmf4UQtCuM_XzZKA")</f>
        <v>2eEptgxmf4UQtCuM_XzZKA</v>
      </c>
      <c r="I209" s="123" t="s">
        <v>4929</v>
      </c>
      <c r="J209" s="195" t="s">
        <v>3742</v>
      </c>
      <c r="K209" s="191" t="s">
        <v>1706</v>
      </c>
      <c r="L209" s="250" t="str">
        <f t="shared" ca="1" si="8"/>
        <v>receivers with flushing wagon</v>
      </c>
      <c r="M209" s="210"/>
      <c r="N209" s="203" t="s">
        <v>1707</v>
      </c>
      <c r="O209" s="203" t="s">
        <v>1708</v>
      </c>
      <c r="P209" s="191" t="s">
        <v>1710</v>
      </c>
      <c r="Q209" s="192" t="s">
        <v>1680</v>
      </c>
      <c r="R209" s="203" t="s">
        <v>1681</v>
      </c>
      <c r="S209" s="198" t="s">
        <v>1711</v>
      </c>
      <c r="T209" s="203" t="s">
        <v>1712</v>
      </c>
      <c r="U209" s="200"/>
      <c r="V209" s="200"/>
      <c r="W209" s="226" t="s">
        <v>3728</v>
      </c>
      <c r="X209" s="226"/>
      <c r="Y209" s="226" t="s">
        <v>3729</v>
      </c>
      <c r="Z209" s="202" t="str">
        <f t="shared" si="0"/>
        <v>RLOM SanitaryTerminals</v>
      </c>
      <c r="AA209" s="172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</row>
    <row r="210" spans="1:40" ht="64.5" customHeight="1">
      <c r="A210" s="190">
        <v>3</v>
      </c>
      <c r="B210" s="190" t="s">
        <v>538</v>
      </c>
      <c r="C210" s="190">
        <v>31</v>
      </c>
      <c r="D210" s="191" t="s">
        <v>1151</v>
      </c>
      <c r="E210" s="192">
        <v>315</v>
      </c>
      <c r="F210" s="192" t="s">
        <v>1642</v>
      </c>
      <c r="G210" s="191"/>
      <c r="H210" s="222" t="str">
        <f>HYPERLINK("http://bsdd.buildingsmart.org/#concept/details/0X20MmEBrE8PFCViEF3NSz","0X20MmEBrE8PFCViEF3NSz")</f>
        <v>0X20MmEBrE8PFCViEF3NSz</v>
      </c>
      <c r="I210" s="123" t="s">
        <v>4930</v>
      </c>
      <c r="J210" s="195" t="s">
        <v>3753</v>
      </c>
      <c r="K210" s="191" t="s">
        <v>1728</v>
      </c>
      <c r="L210" s="250" t="str">
        <f t="shared" ca="1" si="8"/>
        <v>receivers with flushing wagon</v>
      </c>
      <c r="M210" s="210"/>
      <c r="N210" s="203" t="s">
        <v>1707</v>
      </c>
      <c r="O210" s="203" t="s">
        <v>1708</v>
      </c>
      <c r="P210" s="191" t="s">
        <v>1710</v>
      </c>
      <c r="Q210" s="192" t="s">
        <v>1680</v>
      </c>
      <c r="R210" s="203" t="s">
        <v>1681</v>
      </c>
      <c r="S210" s="198" t="s">
        <v>1711</v>
      </c>
      <c r="T210" s="203" t="s">
        <v>1742</v>
      </c>
      <c r="U210" s="200"/>
      <c r="V210" s="200"/>
      <c r="W210" s="226" t="s">
        <v>3728</v>
      </c>
      <c r="X210" s="226"/>
      <c r="Y210" s="226" t="s">
        <v>3729</v>
      </c>
      <c r="Z210" s="202" t="str">
        <f t="shared" si="0"/>
        <v>RLOM SanitaryTerminals</v>
      </c>
      <c r="AA210" s="172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</row>
    <row r="211" spans="1:40" ht="64.5" customHeight="1">
      <c r="A211" s="190">
        <v>3</v>
      </c>
      <c r="B211" s="190" t="s">
        <v>538</v>
      </c>
      <c r="C211" s="190">
        <v>31</v>
      </c>
      <c r="D211" s="191" t="s">
        <v>1151</v>
      </c>
      <c r="E211" s="192">
        <v>315</v>
      </c>
      <c r="F211" s="192" t="s">
        <v>1642</v>
      </c>
      <c r="G211" s="191"/>
      <c r="H211" s="222" t="str">
        <f>HYPERLINK("http://bsdd.buildingsmart.org/#concept/details/0EMQ$9__TFmxyjLKqsnlj$","0EMQ$9__TFmxyjLKqsnlj$")</f>
        <v>0EMQ$9__TFmxyjLKqsnlj$</v>
      </c>
      <c r="I211" s="123" t="s">
        <v>4931</v>
      </c>
      <c r="J211" s="195" t="s">
        <v>3756</v>
      </c>
      <c r="K211" s="191" t="s">
        <v>1749</v>
      </c>
      <c r="L211" s="250" t="str">
        <f t="shared" ca="1" si="8"/>
        <v>receivers with flushing wagon</v>
      </c>
      <c r="M211" s="210"/>
      <c r="N211" s="203" t="s">
        <v>1707</v>
      </c>
      <c r="O211" s="203" t="s">
        <v>1708</v>
      </c>
      <c r="P211" s="191" t="s">
        <v>1710</v>
      </c>
      <c r="Q211" s="192" t="s">
        <v>1680</v>
      </c>
      <c r="R211" s="203" t="s">
        <v>1681</v>
      </c>
      <c r="S211" s="198" t="s">
        <v>1711</v>
      </c>
      <c r="T211" s="203" t="s">
        <v>1752</v>
      </c>
      <c r="U211" s="200"/>
      <c r="V211" s="200"/>
      <c r="W211" s="226" t="s">
        <v>3728</v>
      </c>
      <c r="X211" s="226"/>
      <c r="Y211" s="226" t="s">
        <v>3729</v>
      </c>
      <c r="Z211" s="202" t="str">
        <f t="shared" si="0"/>
        <v>RLOM SanitaryTerminals</v>
      </c>
      <c r="AA211" s="172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</row>
    <row r="212" spans="1:40" ht="64.5" customHeight="1">
      <c r="A212" s="190">
        <v>3</v>
      </c>
      <c r="B212" s="190" t="s">
        <v>538</v>
      </c>
      <c r="C212" s="190">
        <v>31</v>
      </c>
      <c r="D212" s="191" t="s">
        <v>1151</v>
      </c>
      <c r="E212" s="192">
        <v>315</v>
      </c>
      <c r="F212" s="192" t="s">
        <v>1642</v>
      </c>
      <c r="G212" s="191"/>
      <c r="H212" s="222" t="str">
        <f>HYPERLINK("http://bsdd.buildingsmart.org/#concept/details/2Oc7aR$290BONS9maja33W","2Oc7aR$290BONS9maja33W")</f>
        <v>2Oc7aR$290BONS9maja33W</v>
      </c>
      <c r="I212" s="123" t="s">
        <v>1770</v>
      </c>
      <c r="J212" s="195" t="s">
        <v>3760</v>
      </c>
      <c r="K212" s="191"/>
      <c r="L212" s="250" t="str">
        <f t="shared" ca="1" si="8"/>
        <v>receivers with flushing wagon</v>
      </c>
      <c r="M212" s="210"/>
      <c r="N212" s="203" t="s">
        <v>1678</v>
      </c>
      <c r="O212" s="203" t="s">
        <v>1679</v>
      </c>
      <c r="P212" s="191"/>
      <c r="Q212" s="192" t="s">
        <v>1680</v>
      </c>
      <c r="R212" s="203" t="s">
        <v>1681</v>
      </c>
      <c r="S212" s="198" t="s">
        <v>1682</v>
      </c>
      <c r="T212" s="203" t="s">
        <v>1771</v>
      </c>
      <c r="U212" s="200"/>
      <c r="V212" s="200"/>
      <c r="W212" s="226" t="s">
        <v>3728</v>
      </c>
      <c r="X212" s="226"/>
      <c r="Y212" s="226" t="s">
        <v>3729</v>
      </c>
      <c r="Z212" s="202" t="str">
        <f t="shared" si="0"/>
        <v>RLOM SanitaryTerminals</v>
      </c>
      <c r="AA212" s="172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</row>
    <row r="213" spans="1:40" ht="27" customHeight="1">
      <c r="A213" s="190">
        <v>3</v>
      </c>
      <c r="B213" s="190" t="s">
        <v>538</v>
      </c>
      <c r="C213" s="190">
        <v>31</v>
      </c>
      <c r="D213" s="191" t="s">
        <v>1151</v>
      </c>
      <c r="E213" s="192">
        <v>315</v>
      </c>
      <c r="F213" s="192" t="s">
        <v>1642</v>
      </c>
      <c r="G213" s="193" t="s">
        <v>1772</v>
      </c>
      <c r="H213" s="208" t="str">
        <f>HYPERLINK("http://bsdd.buildingsmart.org/#concept/details/2rnEKxucj3XgDQ66Itv5O5","2rnEKxucj3XgDQ66Itv5O5")</f>
        <v>2rnEKxucj3XgDQ66Itv5O5</v>
      </c>
      <c r="I213" s="119" t="s">
        <v>1773</v>
      </c>
      <c r="J213" s="209" t="s">
        <v>3763</v>
      </c>
      <c r="K213" s="206" t="s">
        <v>919</v>
      </c>
      <c r="L213" s="247" t="s">
        <v>3765</v>
      </c>
      <c r="M213" s="198"/>
      <c r="N213" s="199" t="s">
        <v>921</v>
      </c>
      <c r="O213" s="199" t="s">
        <v>935</v>
      </c>
      <c r="P213" s="206"/>
      <c r="Q213" s="203" t="s">
        <v>936</v>
      </c>
      <c r="R213" s="203" t="s">
        <v>937</v>
      </c>
      <c r="S213" s="203" t="s">
        <v>939</v>
      </c>
      <c r="T213" s="203"/>
      <c r="U213" s="198"/>
      <c r="V213" s="198"/>
      <c r="W213" s="196"/>
      <c r="X213" s="196"/>
      <c r="Y213" s="196"/>
      <c r="Z213" s="202" t="str">
        <f t="shared" si="0"/>
        <v>RLOM Tanks</v>
      </c>
      <c r="AA213" s="172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</row>
    <row r="214" spans="1:40" ht="27" customHeight="1">
      <c r="A214" s="190">
        <v>3</v>
      </c>
      <c r="B214" s="190" t="s">
        <v>538</v>
      </c>
      <c r="C214" s="190">
        <v>31</v>
      </c>
      <c r="D214" s="191" t="s">
        <v>1151</v>
      </c>
      <c r="E214" s="192">
        <v>315</v>
      </c>
      <c r="F214" s="192" t="s">
        <v>1642</v>
      </c>
      <c r="G214" s="193" t="s">
        <v>1772</v>
      </c>
      <c r="H214" s="208" t="str">
        <f>HYPERLINK("http://bsdd.buildingsmart.org/#concept/details/1bcmcfU856CvgBmSUn6zEM","1bcmcfU856CvgBmSUn6zEM")</f>
        <v>1bcmcfU856CvgBmSUn6zEM</v>
      </c>
      <c r="I214" s="119" t="s">
        <v>1774</v>
      </c>
      <c r="J214" s="209" t="s">
        <v>3769</v>
      </c>
      <c r="K214" s="206" t="s">
        <v>1775</v>
      </c>
      <c r="L214" s="247" t="s">
        <v>3770</v>
      </c>
      <c r="M214" s="198"/>
      <c r="N214" s="203" t="s">
        <v>1777</v>
      </c>
      <c r="O214" s="199" t="s">
        <v>1778</v>
      </c>
      <c r="P214" s="191"/>
      <c r="Q214" s="203" t="s">
        <v>1779</v>
      </c>
      <c r="R214" s="203" t="s">
        <v>1780</v>
      </c>
      <c r="S214" s="203" t="s">
        <v>1781</v>
      </c>
      <c r="T214" s="203"/>
      <c r="U214" s="198"/>
      <c r="V214" s="198"/>
      <c r="W214" s="198"/>
      <c r="X214" s="198"/>
      <c r="Y214" s="198"/>
      <c r="Z214" s="202" t="str">
        <f t="shared" si="0"/>
        <v>RLOM Pumps</v>
      </c>
      <c r="AA214" s="172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</row>
    <row r="215" spans="1:40" ht="64.5" customHeight="1">
      <c r="A215" s="190">
        <v>3</v>
      </c>
      <c r="B215" s="190" t="s">
        <v>538</v>
      </c>
      <c r="C215" s="190">
        <v>31</v>
      </c>
      <c r="D215" s="191" t="s">
        <v>1151</v>
      </c>
      <c r="E215" s="192">
        <v>315</v>
      </c>
      <c r="F215" s="192" t="s">
        <v>1642</v>
      </c>
      <c r="G215" s="191"/>
      <c r="H215" s="222" t="str">
        <f>HYPERLINK("http://bsdd.buildingsmart.org/#concept/details/07ZlqHEQj8OwCpTn3MjNoi","07ZlqHEQj8OwCpTn3MjNoi")</f>
        <v>07ZlqHEQj8OwCpTn3MjNoi</v>
      </c>
      <c r="I215" s="123" t="s">
        <v>1789</v>
      </c>
      <c r="J215" s="195" t="s">
        <v>3774</v>
      </c>
      <c r="K215" s="191"/>
      <c r="L215" s="249" t="s">
        <v>3776</v>
      </c>
      <c r="M215" s="210"/>
      <c r="N215" s="203" t="s">
        <v>1428</v>
      </c>
      <c r="O215" s="203" t="s">
        <v>1435</v>
      </c>
      <c r="P215" s="191" t="s">
        <v>1797</v>
      </c>
      <c r="Q215" s="192" t="s">
        <v>1680</v>
      </c>
      <c r="R215" s="203" t="s">
        <v>1681</v>
      </c>
      <c r="S215" s="198" t="s">
        <v>1799</v>
      </c>
      <c r="T215" s="203" t="s">
        <v>1801</v>
      </c>
      <c r="U215" s="200"/>
      <c r="V215" s="200"/>
      <c r="W215" s="226" t="s">
        <v>3728</v>
      </c>
      <c r="X215" s="226"/>
      <c r="Y215" s="226" t="s">
        <v>3729</v>
      </c>
      <c r="Z215" s="202" t="str">
        <f t="shared" si="0"/>
        <v>RLOM SanitaryTerminals</v>
      </c>
      <c r="AA215" s="172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</row>
    <row r="216" spans="1:40" ht="64.5" customHeight="1">
      <c r="A216" s="190">
        <v>3</v>
      </c>
      <c r="B216" s="190" t="s">
        <v>538</v>
      </c>
      <c r="C216" s="190">
        <v>31</v>
      </c>
      <c r="D216" s="191" t="s">
        <v>1151</v>
      </c>
      <c r="E216" s="192">
        <v>315</v>
      </c>
      <c r="F216" s="192" t="s">
        <v>1642</v>
      </c>
      <c r="G216" s="191"/>
      <c r="H216" s="222" t="str">
        <f>HYPERLINK("http://bsdd.buildingsmart.org/#concept/details/1u4fY7fEL1_AbglpecbGFU","1u4fY7fEL1_AbglpecbGFU")</f>
        <v>1u4fY7fEL1_AbglpecbGFU</v>
      </c>
      <c r="I216" s="123" t="s">
        <v>4932</v>
      </c>
      <c r="J216" s="195" t="s">
        <v>3785</v>
      </c>
      <c r="K216" s="191"/>
      <c r="L216" s="250" t="str">
        <f t="shared" ref="L216:L218" ca="1" si="9">IFERROR(__xludf.DUMMYFUNCTION(GOOGLETRANSLATE(J216,"no","en")),"shower complete with mixer fixed shower head")</f>
        <v>shower complete with mixer fixed shower head</v>
      </c>
      <c r="M216" s="210"/>
      <c r="N216" s="203"/>
      <c r="O216" s="203"/>
      <c r="P216" s="191"/>
      <c r="Q216" s="192" t="s">
        <v>1680</v>
      </c>
      <c r="R216" s="203"/>
      <c r="S216" s="198"/>
      <c r="T216" s="203"/>
      <c r="U216" s="200"/>
      <c r="V216" s="200"/>
      <c r="W216" s="226" t="s">
        <v>3728</v>
      </c>
      <c r="X216" s="226"/>
      <c r="Y216" s="226" t="s">
        <v>3729</v>
      </c>
      <c r="Z216" s="202" t="str">
        <f t="shared" si="0"/>
        <v>RLOM SanitaryTerminals</v>
      </c>
      <c r="AA216" s="172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</row>
    <row r="217" spans="1:40" ht="64.5" customHeight="1">
      <c r="A217" s="190">
        <v>3</v>
      </c>
      <c r="B217" s="190" t="s">
        <v>538</v>
      </c>
      <c r="C217" s="190">
        <v>31</v>
      </c>
      <c r="D217" s="191" t="s">
        <v>1151</v>
      </c>
      <c r="E217" s="192">
        <v>315</v>
      </c>
      <c r="F217" s="192" t="s">
        <v>1642</v>
      </c>
      <c r="G217" s="191"/>
      <c r="H217" s="222" t="str">
        <f>HYPERLINK("http://bsdd.buildingsmart.org/#concept/details/1Fz1DdOc9BlRzfCN5wqlKY","1Fz1DdOc9BlRzfCN5wqlKY")</f>
        <v>1Fz1DdOc9BlRzfCN5wqlKY</v>
      </c>
      <c r="I217" s="123" t="s">
        <v>4933</v>
      </c>
      <c r="J217" s="195" t="s">
        <v>3790</v>
      </c>
      <c r="K217" s="191"/>
      <c r="L217" s="250" t="str">
        <f t="shared" ca="1" si="9"/>
        <v>shower complete with mixer fixed shower head</v>
      </c>
      <c r="M217" s="210"/>
      <c r="N217" s="198"/>
      <c r="O217" s="198"/>
      <c r="P217" s="198"/>
      <c r="Q217" s="196" t="s">
        <v>1680</v>
      </c>
      <c r="R217" s="198"/>
      <c r="S217" s="198"/>
      <c r="T217" s="203"/>
      <c r="U217" s="200"/>
      <c r="V217" s="200"/>
      <c r="W217" s="226" t="s">
        <v>3728</v>
      </c>
      <c r="X217" s="226"/>
      <c r="Y217" s="226" t="s">
        <v>3729</v>
      </c>
      <c r="Z217" s="202" t="str">
        <f t="shared" si="0"/>
        <v>RLOM SanitaryTerminals</v>
      </c>
      <c r="AA217" s="172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</row>
    <row r="218" spans="1:40" ht="64.5" customHeight="1">
      <c r="A218" s="190">
        <v>3</v>
      </c>
      <c r="B218" s="190" t="s">
        <v>538</v>
      </c>
      <c r="C218" s="190">
        <v>31</v>
      </c>
      <c r="D218" s="191" t="s">
        <v>1151</v>
      </c>
      <c r="E218" s="192">
        <v>315</v>
      </c>
      <c r="F218" s="192" t="s">
        <v>1642</v>
      </c>
      <c r="G218" s="191"/>
      <c r="H218" s="222" t="str">
        <f>HYPERLINK("http://bsdd.buildingsmart.org/#concept/details/33N$I017CHtm00025QrE$V","33N$I017CHtm00025QrE$V")</f>
        <v>33N$I017CHtm00025QrE$V</v>
      </c>
      <c r="I218" s="123" t="s">
        <v>1840</v>
      </c>
      <c r="J218" s="195" t="s">
        <v>3796</v>
      </c>
      <c r="K218" s="191"/>
      <c r="L218" s="250" t="str">
        <f t="shared" ca="1" si="9"/>
        <v>shower complete with mixer fixed shower head</v>
      </c>
      <c r="M218" s="210"/>
      <c r="N218" s="198" t="s">
        <v>1845</v>
      </c>
      <c r="O218" s="198" t="s">
        <v>1339</v>
      </c>
      <c r="P218" s="198" t="s">
        <v>1840</v>
      </c>
      <c r="Q218" s="196" t="s">
        <v>1680</v>
      </c>
      <c r="R218" s="198" t="s">
        <v>1681</v>
      </c>
      <c r="S218" s="198" t="s">
        <v>1848</v>
      </c>
      <c r="T218" s="203" t="s">
        <v>3798</v>
      </c>
      <c r="U218" s="200"/>
      <c r="V218" s="200"/>
      <c r="W218" s="226" t="s">
        <v>3728</v>
      </c>
      <c r="X218" s="226"/>
      <c r="Y218" s="226" t="s">
        <v>3729</v>
      </c>
      <c r="Z218" s="202" t="str">
        <f t="shared" si="0"/>
        <v>RLOM SanitaryTerminals</v>
      </c>
      <c r="AA218" s="172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</row>
    <row r="219" spans="1:40" ht="27" customHeight="1">
      <c r="A219" s="190">
        <v>3</v>
      </c>
      <c r="B219" s="190" t="s">
        <v>538</v>
      </c>
      <c r="C219" s="190">
        <v>31</v>
      </c>
      <c r="D219" s="191" t="s">
        <v>1151</v>
      </c>
      <c r="E219" s="192">
        <v>315</v>
      </c>
      <c r="F219" s="192" t="s">
        <v>1642</v>
      </c>
      <c r="G219" s="193" t="s">
        <v>1772</v>
      </c>
      <c r="H219" s="208" t="str">
        <f>HYPERLINK("http://bsdd.buildingsmart.org/#concept/details/0M9Zzpmr97EwSbwzLilCeN","0M9Zzpmr97EwSbwzLilCeN")</f>
        <v>0M9Zzpmr97EwSbwzLilCeN</v>
      </c>
      <c r="I219" s="119" t="s">
        <v>4934</v>
      </c>
      <c r="J219" s="209" t="s">
        <v>3801</v>
      </c>
      <c r="K219" s="206"/>
      <c r="L219" s="247" t="s">
        <v>3802</v>
      </c>
      <c r="M219" s="198"/>
      <c r="N219" s="198" t="s">
        <v>1872</v>
      </c>
      <c r="O219" s="198" t="s">
        <v>1874</v>
      </c>
      <c r="P219" s="198" t="s">
        <v>1875</v>
      </c>
      <c r="Q219" s="198" t="s">
        <v>1877</v>
      </c>
      <c r="R219" s="198" t="s">
        <v>1878</v>
      </c>
      <c r="S219" s="198" t="s">
        <v>1879</v>
      </c>
      <c r="T219" s="203" t="s">
        <v>1895</v>
      </c>
      <c r="U219" s="198"/>
      <c r="V219" s="198"/>
      <c r="W219" s="198"/>
      <c r="X219" s="198"/>
      <c r="Y219" s="198"/>
      <c r="Z219" s="202" t="str">
        <f t="shared" si="0"/>
        <v>RLOM Boilers</v>
      </c>
      <c r="AA219" s="172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</row>
    <row r="220" spans="1:40" ht="64.5" customHeight="1">
      <c r="A220" s="190">
        <v>3</v>
      </c>
      <c r="B220" s="190" t="s">
        <v>538</v>
      </c>
      <c r="C220" s="190">
        <v>31</v>
      </c>
      <c r="D220" s="191" t="s">
        <v>1151</v>
      </c>
      <c r="E220" s="192">
        <v>315</v>
      </c>
      <c r="F220" s="192" t="s">
        <v>1642</v>
      </c>
      <c r="G220" s="191"/>
      <c r="H220" s="222" t="str">
        <f>HYPERLINK("http://bsdd.buildingsmart.org/#concept/details/2tP5qvaQbF1fsOtw4X2hml","2tP5qvaQbF1fsOtw4X2hml")</f>
        <v>2tP5qvaQbF1fsOtw4X2hml</v>
      </c>
      <c r="I220" s="123" t="s">
        <v>1900</v>
      </c>
      <c r="J220" s="195" t="s">
        <v>3805</v>
      </c>
      <c r="K220" s="191" t="s">
        <v>1903</v>
      </c>
      <c r="L220" s="250" t="str">
        <f t="shared" ref="L220:L235" ca="1" si="10">IFERROR(__xludf.DUMMYFUNCTION(GOOGLETRANSLATE(J220,"no","en")),"fixed shower")</f>
        <v>fixed shower</v>
      </c>
      <c r="M220" s="210"/>
      <c r="N220" s="198" t="s">
        <v>1905</v>
      </c>
      <c r="O220" s="198" t="s">
        <v>1906</v>
      </c>
      <c r="P220" s="198" t="s">
        <v>1909</v>
      </c>
      <c r="Q220" s="196" t="s">
        <v>1680</v>
      </c>
      <c r="R220" s="198" t="s">
        <v>1681</v>
      </c>
      <c r="S220" s="198" t="s">
        <v>1848</v>
      </c>
      <c r="T220" s="203" t="s">
        <v>1910</v>
      </c>
      <c r="U220" s="200"/>
      <c r="V220" s="200"/>
      <c r="W220" s="226" t="s">
        <v>3728</v>
      </c>
      <c r="X220" s="226"/>
      <c r="Y220" s="226" t="s">
        <v>3729</v>
      </c>
      <c r="Z220" s="202" t="str">
        <f t="shared" si="0"/>
        <v>RLOM SanitaryTerminals</v>
      </c>
      <c r="AA220" s="172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</row>
    <row r="221" spans="1:40" ht="27" customHeight="1">
      <c r="A221" s="190">
        <v>3</v>
      </c>
      <c r="B221" s="190" t="s">
        <v>538</v>
      </c>
      <c r="C221" s="190">
        <v>31</v>
      </c>
      <c r="D221" s="191" t="s">
        <v>1151</v>
      </c>
      <c r="E221" s="192">
        <v>315</v>
      </c>
      <c r="F221" s="192" t="s">
        <v>1642</v>
      </c>
      <c r="G221" s="193" t="s">
        <v>1772</v>
      </c>
      <c r="H221" s="208" t="str">
        <f>HYPERLINK("http://bsdd.buildingsmart.org/#concept/details/3PcdVC6Z16KgoadvWQs8Wp","3PcdVC6Z16KgoadvWQs8Wp")</f>
        <v>3PcdVC6Z16KgoadvWQs8Wp</v>
      </c>
      <c r="I221" s="119" t="s">
        <v>1916</v>
      </c>
      <c r="J221" s="209" t="s">
        <v>3814</v>
      </c>
      <c r="K221" s="206" t="s">
        <v>1917</v>
      </c>
      <c r="L221" s="250" t="str">
        <f t="shared" ca="1" si="10"/>
        <v>fixed shower</v>
      </c>
      <c r="M221" s="198"/>
      <c r="N221" s="227" t="s">
        <v>1754</v>
      </c>
      <c r="O221" s="227" t="s">
        <v>1756</v>
      </c>
      <c r="P221" s="227"/>
      <c r="Q221" s="198" t="s">
        <v>936</v>
      </c>
      <c r="R221" s="198" t="s">
        <v>937</v>
      </c>
      <c r="S221" s="198" t="s">
        <v>1758</v>
      </c>
      <c r="T221" s="203" t="s">
        <v>1932</v>
      </c>
      <c r="U221" s="198"/>
      <c r="V221" s="198"/>
      <c r="W221" s="196"/>
      <c r="X221" s="196"/>
      <c r="Y221" s="196"/>
      <c r="Z221" s="202" t="str">
        <f t="shared" si="0"/>
        <v>RLOM Tanks</v>
      </c>
      <c r="AA221" s="172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</row>
    <row r="222" spans="1:40" ht="64.5" customHeight="1">
      <c r="A222" s="190">
        <v>3</v>
      </c>
      <c r="B222" s="190" t="s">
        <v>538</v>
      </c>
      <c r="C222" s="190">
        <v>31</v>
      </c>
      <c r="D222" s="191" t="s">
        <v>1151</v>
      </c>
      <c r="E222" s="192">
        <v>315</v>
      </c>
      <c r="F222" s="192" t="s">
        <v>1642</v>
      </c>
      <c r="G222" s="191"/>
      <c r="H222" s="222" t="str">
        <f>HYPERLINK("http://bsdd.buildingsmart.org/#concept/details/1CmsMn8_TEsOFNgC_LGZyb","1CmsMn8_TEsOFNgC_LGZyb")</f>
        <v>1CmsMn8_TEsOFNgC_LGZyb</v>
      </c>
      <c r="I222" s="123" t="s">
        <v>1941</v>
      </c>
      <c r="J222" s="195" t="s">
        <v>3820</v>
      </c>
      <c r="K222" s="191"/>
      <c r="L222" s="250" t="str">
        <f t="shared" ca="1" si="10"/>
        <v>fixed shower</v>
      </c>
      <c r="M222" s="210"/>
      <c r="N222" s="198" t="s">
        <v>1678</v>
      </c>
      <c r="O222" s="198" t="s">
        <v>1679</v>
      </c>
      <c r="P222" s="198"/>
      <c r="Q222" s="196" t="s">
        <v>1680</v>
      </c>
      <c r="R222" s="198" t="s">
        <v>1681</v>
      </c>
      <c r="S222" s="198" t="s">
        <v>1682</v>
      </c>
      <c r="T222" s="203" t="s">
        <v>1943</v>
      </c>
      <c r="U222" s="200"/>
      <c r="V222" s="200"/>
      <c r="W222" s="226" t="s">
        <v>3728</v>
      </c>
      <c r="X222" s="226"/>
      <c r="Y222" s="226" t="s">
        <v>3729</v>
      </c>
      <c r="Z222" s="202" t="str">
        <f t="shared" si="0"/>
        <v>RLOM SanitaryTerminals</v>
      </c>
      <c r="AA222" s="172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</row>
    <row r="223" spans="1:40" ht="64.5" customHeight="1">
      <c r="A223" s="190">
        <v>3</v>
      </c>
      <c r="B223" s="190" t="s">
        <v>538</v>
      </c>
      <c r="C223" s="190">
        <v>31</v>
      </c>
      <c r="D223" s="191" t="s">
        <v>1151</v>
      </c>
      <c r="E223" s="192">
        <v>315</v>
      </c>
      <c r="F223" s="192" t="s">
        <v>1642</v>
      </c>
      <c r="G223" s="191"/>
      <c r="H223" s="222" t="str">
        <f>HYPERLINK("http://bsdd.buildingsmart.org/#concept/details/0dvR8vw9z4XgmPHbNGEu7o","0dvR8vw9z4XgmPHbNGEu7o")</f>
        <v>0dvR8vw9z4XgmPHbNGEu7o</v>
      </c>
      <c r="I223" s="123" t="s">
        <v>1954</v>
      </c>
      <c r="J223" s="195" t="s">
        <v>3823</v>
      </c>
      <c r="K223" s="191" t="s">
        <v>1956</v>
      </c>
      <c r="L223" s="250" t="str">
        <f t="shared" ca="1" si="10"/>
        <v>fixed shower</v>
      </c>
      <c r="M223" s="210"/>
      <c r="N223" s="198" t="s">
        <v>1957</v>
      </c>
      <c r="O223" s="198" t="s">
        <v>1958</v>
      </c>
      <c r="P223" s="198" t="s">
        <v>1959</v>
      </c>
      <c r="Q223" s="196" t="s">
        <v>1680</v>
      </c>
      <c r="R223" s="198" t="s">
        <v>1681</v>
      </c>
      <c r="S223" s="198" t="s">
        <v>1963</v>
      </c>
      <c r="T223" s="203" t="s">
        <v>1966</v>
      </c>
      <c r="U223" s="200"/>
      <c r="V223" s="200"/>
      <c r="W223" s="226" t="s">
        <v>3728</v>
      </c>
      <c r="X223" s="226"/>
      <c r="Y223" s="226" t="s">
        <v>3729</v>
      </c>
      <c r="Z223" s="202" t="str">
        <f t="shared" si="0"/>
        <v>RLOM SanitaryTerminals</v>
      </c>
      <c r="AA223" s="172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</row>
    <row r="224" spans="1:40" ht="64.5" customHeight="1">
      <c r="A224" s="190">
        <v>3</v>
      </c>
      <c r="B224" s="190" t="s">
        <v>538</v>
      </c>
      <c r="C224" s="190">
        <v>31</v>
      </c>
      <c r="D224" s="191" t="s">
        <v>1151</v>
      </c>
      <c r="E224" s="192">
        <v>315</v>
      </c>
      <c r="F224" s="192" t="s">
        <v>1642</v>
      </c>
      <c r="G224" s="191"/>
      <c r="H224" s="222" t="str">
        <f>HYPERLINK("http://bsdd.buildingsmart.org/#concept/details/3MAXyAr3HFWRPc8db1O1fj","3MAXyAr3HFWRPc8db1O1fj")</f>
        <v>3MAXyAr3HFWRPc8db1O1fj</v>
      </c>
      <c r="I224" s="123" t="s">
        <v>1970</v>
      </c>
      <c r="J224" s="195" t="s">
        <v>3826</v>
      </c>
      <c r="K224" s="191" t="s">
        <v>1971</v>
      </c>
      <c r="L224" s="250" t="str">
        <f t="shared" ca="1" si="10"/>
        <v>fixed shower</v>
      </c>
      <c r="M224" s="210"/>
      <c r="N224" s="198" t="s">
        <v>1957</v>
      </c>
      <c r="O224" s="198" t="s">
        <v>1958</v>
      </c>
      <c r="P224" s="198" t="s">
        <v>1974</v>
      </c>
      <c r="Q224" s="196" t="s">
        <v>1680</v>
      </c>
      <c r="R224" s="198" t="s">
        <v>1681</v>
      </c>
      <c r="S224" s="198" t="s">
        <v>1975</v>
      </c>
      <c r="T224" s="203" t="s">
        <v>1976</v>
      </c>
      <c r="U224" s="200"/>
      <c r="V224" s="200"/>
      <c r="W224" s="226" t="s">
        <v>3728</v>
      </c>
      <c r="X224" s="226"/>
      <c r="Y224" s="226" t="s">
        <v>3729</v>
      </c>
      <c r="Z224" s="202" t="str">
        <f t="shared" si="0"/>
        <v>RLOM SanitaryTerminals</v>
      </c>
      <c r="AA224" s="172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</row>
    <row r="225" spans="1:40" ht="78" customHeight="1">
      <c r="A225" s="190">
        <v>3</v>
      </c>
      <c r="B225" s="190" t="s">
        <v>538</v>
      </c>
      <c r="C225" s="190">
        <v>31</v>
      </c>
      <c r="D225" s="191" t="s">
        <v>1151</v>
      </c>
      <c r="E225" s="192">
        <v>315</v>
      </c>
      <c r="F225" s="192" t="s">
        <v>1642</v>
      </c>
      <c r="G225" s="191"/>
      <c r="H225" s="222" t="str">
        <f>HYPERLINK("http://bsdd.buildingsmart.org/#concept/details/1hS69PbdvDfgMl0wPsqWHE","1hS69PbdvDfgMl0wPsqWHE")</f>
        <v>1hS69PbdvDfgMl0wPsqWHE</v>
      </c>
      <c r="I225" s="123" t="s">
        <v>1979</v>
      </c>
      <c r="J225" s="195" t="s">
        <v>3833</v>
      </c>
      <c r="K225" s="191" t="s">
        <v>1981</v>
      </c>
      <c r="L225" s="250" t="str">
        <f t="shared" ca="1" si="10"/>
        <v>fixed shower</v>
      </c>
      <c r="M225" s="210"/>
      <c r="N225" s="198" t="s">
        <v>1645</v>
      </c>
      <c r="O225" s="198" t="s">
        <v>1646</v>
      </c>
      <c r="P225" s="198" t="s">
        <v>1985</v>
      </c>
      <c r="Q225" s="198" t="s">
        <v>1649</v>
      </c>
      <c r="R225" s="198" t="s">
        <v>1650</v>
      </c>
      <c r="S225" s="198" t="s">
        <v>1986</v>
      </c>
      <c r="T225" s="203"/>
      <c r="U225" s="200"/>
      <c r="V225" s="200"/>
      <c r="W225" s="226" t="s">
        <v>3684</v>
      </c>
      <c r="X225" s="226"/>
      <c r="Y225" s="226" t="s">
        <v>3697</v>
      </c>
      <c r="Z225" s="202" t="str">
        <f t="shared" si="0"/>
        <v>RLOM WasteTerminals</v>
      </c>
      <c r="AA225" s="172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</row>
    <row r="226" spans="1:40" ht="64.5" customHeight="1">
      <c r="A226" s="190">
        <v>3</v>
      </c>
      <c r="B226" s="190" t="s">
        <v>538</v>
      </c>
      <c r="C226" s="190">
        <v>31</v>
      </c>
      <c r="D226" s="191" t="s">
        <v>1151</v>
      </c>
      <c r="E226" s="192">
        <v>315</v>
      </c>
      <c r="F226" s="192" t="s">
        <v>1642</v>
      </c>
      <c r="G226" s="191"/>
      <c r="H226" s="222" t="str">
        <f>HYPERLINK("http://bsdd.buildingsmart.org/#concept/details/2k9fdEZ1nCQf63FCNa_wks","2k9fdEZ1nCQf63FCNa_wks")</f>
        <v>2k9fdEZ1nCQf63FCNa_wks</v>
      </c>
      <c r="I226" s="123" t="s">
        <v>1990</v>
      </c>
      <c r="J226" s="195" t="s">
        <v>3837</v>
      </c>
      <c r="K226" s="191"/>
      <c r="L226" s="250" t="str">
        <f t="shared" ca="1" si="10"/>
        <v>fixed shower</v>
      </c>
      <c r="M226" s="210"/>
      <c r="N226" s="198" t="s">
        <v>1678</v>
      </c>
      <c r="O226" s="198" t="s">
        <v>1679</v>
      </c>
      <c r="P226" s="198"/>
      <c r="Q226" s="196" t="s">
        <v>1680</v>
      </c>
      <c r="R226" s="198" t="s">
        <v>1681</v>
      </c>
      <c r="S226" s="198" t="s">
        <v>1682</v>
      </c>
      <c r="T226" s="203" t="s">
        <v>1991</v>
      </c>
      <c r="U226" s="200"/>
      <c r="V226" s="200"/>
      <c r="W226" s="226" t="s">
        <v>3728</v>
      </c>
      <c r="X226" s="226"/>
      <c r="Y226" s="226" t="s">
        <v>3729</v>
      </c>
      <c r="Z226" s="202" t="str">
        <f t="shared" si="0"/>
        <v>RLOM SanitaryTerminals</v>
      </c>
      <c r="AA226" s="172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</row>
    <row r="227" spans="1:40" ht="64.5" customHeight="1">
      <c r="A227" s="190">
        <v>3</v>
      </c>
      <c r="B227" s="190" t="s">
        <v>538</v>
      </c>
      <c r="C227" s="190">
        <v>31</v>
      </c>
      <c r="D227" s="191" t="s">
        <v>1151</v>
      </c>
      <c r="E227" s="192">
        <v>315</v>
      </c>
      <c r="F227" s="192" t="s">
        <v>1642</v>
      </c>
      <c r="G227" s="191"/>
      <c r="H227" s="222" t="str">
        <f>HYPERLINK("http://bsdd.buildingsmart.org/#concept/details/3vHJ6GoT0Hsm00051Mm008","3vHJ6GoT0Hsm00051Mm008")</f>
        <v>3vHJ6GoT0Hsm00051Mm008</v>
      </c>
      <c r="I227" s="123" t="s">
        <v>1994</v>
      </c>
      <c r="J227" s="195" t="s">
        <v>3840</v>
      </c>
      <c r="K227" s="191" t="s">
        <v>1995</v>
      </c>
      <c r="L227" s="250" t="str">
        <f t="shared" ca="1" si="10"/>
        <v>fixed shower</v>
      </c>
      <c r="M227" s="210"/>
      <c r="N227" s="198" t="s">
        <v>1905</v>
      </c>
      <c r="O227" s="198" t="s">
        <v>1906</v>
      </c>
      <c r="P227" s="198" t="s">
        <v>1909</v>
      </c>
      <c r="Q227" s="196" t="s">
        <v>1680</v>
      </c>
      <c r="R227" s="198" t="s">
        <v>1681</v>
      </c>
      <c r="S227" s="198" t="s">
        <v>1848</v>
      </c>
      <c r="T227" s="203" t="s">
        <v>1910</v>
      </c>
      <c r="U227" s="200"/>
      <c r="V227" s="200"/>
      <c r="W227" s="226" t="s">
        <v>3728</v>
      </c>
      <c r="X227" s="226"/>
      <c r="Y227" s="226" t="s">
        <v>3729</v>
      </c>
      <c r="Z227" s="202" t="str">
        <f t="shared" si="0"/>
        <v>RLOM SanitaryTerminals</v>
      </c>
      <c r="AA227" s="172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</row>
    <row r="228" spans="1:40" ht="64.5" customHeight="1">
      <c r="A228" s="190">
        <v>3</v>
      </c>
      <c r="B228" s="190" t="s">
        <v>538</v>
      </c>
      <c r="C228" s="190">
        <v>31</v>
      </c>
      <c r="D228" s="191" t="s">
        <v>1151</v>
      </c>
      <c r="E228" s="192">
        <v>315</v>
      </c>
      <c r="F228" s="192" t="s">
        <v>1642</v>
      </c>
      <c r="G228" s="191"/>
      <c r="H228" s="222" t="str">
        <f>HYPERLINK("http://bsdd.buildingsmart.org/#concept/details/3vHTjKoT0Hsm00051Mm008","3vHTjKoT0Hsm00051Mm008")</f>
        <v>3vHTjKoT0Hsm00051Mm008</v>
      </c>
      <c r="I228" s="123" t="s">
        <v>1999</v>
      </c>
      <c r="J228" s="195" t="s">
        <v>3848</v>
      </c>
      <c r="K228" s="191" t="s">
        <v>2000</v>
      </c>
      <c r="L228" s="250" t="str">
        <f t="shared" ca="1" si="10"/>
        <v>fixed shower</v>
      </c>
      <c r="M228" s="210"/>
      <c r="N228" s="198" t="s">
        <v>1957</v>
      </c>
      <c r="O228" s="198" t="s">
        <v>1958</v>
      </c>
      <c r="P228" s="198" t="s">
        <v>1959</v>
      </c>
      <c r="Q228" s="196" t="s">
        <v>1680</v>
      </c>
      <c r="R228" s="198" t="s">
        <v>1681</v>
      </c>
      <c r="S228" s="198" t="s">
        <v>1963</v>
      </c>
      <c r="T228" s="203" t="s">
        <v>2005</v>
      </c>
      <c r="U228" s="200"/>
      <c r="V228" s="200"/>
      <c r="W228" s="226" t="s">
        <v>3728</v>
      </c>
      <c r="X228" s="226"/>
      <c r="Y228" s="226" t="s">
        <v>3729</v>
      </c>
      <c r="Z228" s="202" t="str">
        <f t="shared" si="0"/>
        <v>RLOM SanitaryTerminals</v>
      </c>
      <c r="AA228" s="172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</row>
    <row r="229" spans="1:40" ht="64.5" customHeight="1">
      <c r="A229" s="190">
        <v>3</v>
      </c>
      <c r="B229" s="190" t="s">
        <v>538</v>
      </c>
      <c r="C229" s="190">
        <v>31</v>
      </c>
      <c r="D229" s="191" t="s">
        <v>1151</v>
      </c>
      <c r="E229" s="192">
        <v>315</v>
      </c>
      <c r="F229" s="192" t="s">
        <v>1642</v>
      </c>
      <c r="G229" s="191"/>
      <c r="H229" s="222" t="str">
        <f>HYPERLINK("http://bsdd.buildingsmart.org/#concept/details/2NwOYzzJL1j9_QhPjkYL87","2NwOYzzJL1j9_QhPjkYL87")</f>
        <v>2NwOYzzJL1j9_QhPjkYL87</v>
      </c>
      <c r="I229" s="123" t="s">
        <v>2009</v>
      </c>
      <c r="J229" s="195" t="s">
        <v>3853</v>
      </c>
      <c r="K229" s="191" t="s">
        <v>2010</v>
      </c>
      <c r="L229" s="250" t="str">
        <f t="shared" ca="1" si="10"/>
        <v>fixed shower</v>
      </c>
      <c r="M229" s="210"/>
      <c r="N229" s="198" t="s">
        <v>1905</v>
      </c>
      <c r="O229" s="198" t="s">
        <v>1906</v>
      </c>
      <c r="P229" s="198" t="s">
        <v>1909</v>
      </c>
      <c r="Q229" s="196" t="s">
        <v>1680</v>
      </c>
      <c r="R229" s="198" t="s">
        <v>1681</v>
      </c>
      <c r="S229" s="198" t="s">
        <v>1848</v>
      </c>
      <c r="T229" s="203" t="s">
        <v>2013</v>
      </c>
      <c r="U229" s="200"/>
      <c r="V229" s="200"/>
      <c r="W229" s="226" t="s">
        <v>3728</v>
      </c>
      <c r="X229" s="226"/>
      <c r="Y229" s="226" t="s">
        <v>3729</v>
      </c>
      <c r="Z229" s="202" t="str">
        <f t="shared" si="0"/>
        <v>RLOM SanitaryTerminals</v>
      </c>
      <c r="AA229" s="172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</row>
    <row r="230" spans="1:40" ht="64.5" customHeight="1">
      <c r="A230" s="190">
        <v>3</v>
      </c>
      <c r="B230" s="190" t="s">
        <v>538</v>
      </c>
      <c r="C230" s="190">
        <v>31</v>
      </c>
      <c r="D230" s="191" t="s">
        <v>1151</v>
      </c>
      <c r="E230" s="192">
        <v>315</v>
      </c>
      <c r="F230" s="192" t="s">
        <v>1642</v>
      </c>
      <c r="G230" s="191"/>
      <c r="H230" s="222" t="str">
        <f>HYPERLINK("http://bsdd.buildingsmart.org/#concept/details/1YsHMrZCPCffMN$qWGLejx","1YsHMrZCPCffMN$qWGLejx")</f>
        <v>1YsHMrZCPCffMN$qWGLejx</v>
      </c>
      <c r="I230" s="123" t="s">
        <v>2017</v>
      </c>
      <c r="J230" s="195" t="s">
        <v>3854</v>
      </c>
      <c r="K230" s="191" t="s">
        <v>2019</v>
      </c>
      <c r="L230" s="250" t="str">
        <f t="shared" ca="1" si="10"/>
        <v>fixed shower</v>
      </c>
      <c r="M230" s="210"/>
      <c r="N230" s="198" t="s">
        <v>1678</v>
      </c>
      <c r="O230" s="198" t="s">
        <v>1679</v>
      </c>
      <c r="P230" s="198"/>
      <c r="Q230" s="196" t="s">
        <v>1680</v>
      </c>
      <c r="R230" s="198" t="s">
        <v>1681</v>
      </c>
      <c r="S230" s="198" t="s">
        <v>1682</v>
      </c>
      <c r="T230" s="203" t="s">
        <v>2026</v>
      </c>
      <c r="U230" s="200"/>
      <c r="V230" s="200"/>
      <c r="W230" s="226" t="s">
        <v>3728</v>
      </c>
      <c r="X230" s="226"/>
      <c r="Y230" s="226" t="s">
        <v>3729</v>
      </c>
      <c r="Z230" s="202" t="str">
        <f t="shared" si="0"/>
        <v>RLOM SanitaryTerminals</v>
      </c>
      <c r="AA230" s="172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</row>
    <row r="231" spans="1:40" ht="64.5" customHeight="1">
      <c r="A231" s="190">
        <v>3</v>
      </c>
      <c r="B231" s="190" t="s">
        <v>538</v>
      </c>
      <c r="C231" s="190">
        <v>31</v>
      </c>
      <c r="D231" s="191" t="s">
        <v>1151</v>
      </c>
      <c r="E231" s="192">
        <v>315</v>
      </c>
      <c r="F231" s="192" t="s">
        <v>1642</v>
      </c>
      <c r="G231" s="191"/>
      <c r="H231" s="222" t="str">
        <f>HYPERLINK("http://bsdd.buildingsmart.org/#concept/details/2bMlbGlDr9DvtOoAOPR5DR","2bMlbGlDr9DvtOoAOPR5DR")</f>
        <v>2bMlbGlDr9DvtOoAOPR5DR</v>
      </c>
      <c r="I231" s="123" t="s">
        <v>2029</v>
      </c>
      <c r="J231" s="195" t="s">
        <v>3855</v>
      </c>
      <c r="K231" s="191"/>
      <c r="L231" s="250" t="str">
        <f t="shared" ca="1" si="10"/>
        <v>fixed shower</v>
      </c>
      <c r="M231" s="210"/>
      <c r="N231" s="198" t="s">
        <v>1957</v>
      </c>
      <c r="O231" s="198" t="s">
        <v>1958</v>
      </c>
      <c r="P231" s="198" t="s">
        <v>1974</v>
      </c>
      <c r="Q231" s="196" t="s">
        <v>1680</v>
      </c>
      <c r="R231" s="198" t="s">
        <v>1681</v>
      </c>
      <c r="S231" s="198" t="s">
        <v>1975</v>
      </c>
      <c r="T231" s="203" t="s">
        <v>2031</v>
      </c>
      <c r="U231" s="200"/>
      <c r="V231" s="200"/>
      <c r="W231" s="226" t="s">
        <v>3728</v>
      </c>
      <c r="X231" s="226"/>
      <c r="Y231" s="226" t="s">
        <v>3729</v>
      </c>
      <c r="Z231" s="202" t="str">
        <f t="shared" si="0"/>
        <v>RLOM SanitaryTerminals</v>
      </c>
      <c r="AA231" s="172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</row>
    <row r="232" spans="1:40" ht="64.5" customHeight="1">
      <c r="A232" s="190">
        <v>3</v>
      </c>
      <c r="B232" s="190" t="s">
        <v>538</v>
      </c>
      <c r="C232" s="190">
        <v>31</v>
      </c>
      <c r="D232" s="191" t="s">
        <v>1151</v>
      </c>
      <c r="E232" s="192">
        <v>315</v>
      </c>
      <c r="F232" s="192" t="s">
        <v>1642</v>
      </c>
      <c r="G232" s="191"/>
      <c r="H232" s="222" t="str">
        <f>HYPERLINK("http://bsdd.buildingsmart.org/#concept/details/0gIUBMeoj4KAIgb61jnorl","0gIUBMeoj4KAIgb61jnorl")</f>
        <v>0gIUBMeoj4KAIgb61jnorl</v>
      </c>
      <c r="I232" s="123" t="s">
        <v>4935</v>
      </c>
      <c r="J232" s="195" t="s">
        <v>3856</v>
      </c>
      <c r="K232" s="191" t="s">
        <v>2038</v>
      </c>
      <c r="L232" s="250" t="str">
        <f t="shared" ca="1" si="10"/>
        <v>fixed shower</v>
      </c>
      <c r="M232" s="210"/>
      <c r="N232" s="198" t="s">
        <v>1957</v>
      </c>
      <c r="O232" s="198" t="s">
        <v>1958</v>
      </c>
      <c r="P232" s="198" t="s">
        <v>1974</v>
      </c>
      <c r="Q232" s="196" t="s">
        <v>1680</v>
      </c>
      <c r="R232" s="198" t="s">
        <v>1681</v>
      </c>
      <c r="S232" s="198" t="s">
        <v>1975</v>
      </c>
      <c r="T232" s="203" t="s">
        <v>2039</v>
      </c>
      <c r="U232" s="228"/>
      <c r="V232" s="200"/>
      <c r="W232" s="226" t="s">
        <v>3728</v>
      </c>
      <c r="X232" s="226"/>
      <c r="Y232" s="226" t="s">
        <v>3729</v>
      </c>
      <c r="Z232" s="202" t="str">
        <f t="shared" si="0"/>
        <v>RLOM SanitaryTerminals</v>
      </c>
      <c r="AA232" s="172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</row>
    <row r="233" spans="1:40" ht="64.5" customHeight="1">
      <c r="A233" s="190">
        <v>3</v>
      </c>
      <c r="B233" s="190" t="s">
        <v>538</v>
      </c>
      <c r="C233" s="190">
        <v>31</v>
      </c>
      <c r="D233" s="191" t="s">
        <v>1151</v>
      </c>
      <c r="E233" s="192">
        <v>315</v>
      </c>
      <c r="F233" s="192" t="s">
        <v>1642</v>
      </c>
      <c r="G233" s="191"/>
      <c r="H233" s="222" t="str">
        <f>HYPERLINK("http://bsdd.buildingsmart.org/#concept/details/0$ShCBq911Uv8v52mwqYUe","0$ShCBq911Uv8v52mwqYUe")</f>
        <v>0$ShCBq911Uv8v52mwqYUe</v>
      </c>
      <c r="I233" s="123" t="s">
        <v>4936</v>
      </c>
      <c r="J233" s="195" t="s">
        <v>3857</v>
      </c>
      <c r="K233" s="191" t="s">
        <v>2052</v>
      </c>
      <c r="L233" s="250" t="str">
        <f t="shared" ca="1" si="10"/>
        <v>fixed shower</v>
      </c>
      <c r="M233" s="210"/>
      <c r="N233" s="198" t="s">
        <v>1957</v>
      </c>
      <c r="O233" s="198" t="s">
        <v>1958</v>
      </c>
      <c r="P233" s="198" t="s">
        <v>1974</v>
      </c>
      <c r="Q233" s="196" t="s">
        <v>1680</v>
      </c>
      <c r="R233" s="198" t="s">
        <v>1681</v>
      </c>
      <c r="S233" s="198" t="s">
        <v>1975</v>
      </c>
      <c r="T233" s="203" t="s">
        <v>2056</v>
      </c>
      <c r="U233" s="200"/>
      <c r="V233" s="200"/>
      <c r="W233" s="226" t="s">
        <v>3728</v>
      </c>
      <c r="X233" s="226"/>
      <c r="Y233" s="226" t="s">
        <v>3729</v>
      </c>
      <c r="Z233" s="202" t="str">
        <f t="shared" si="0"/>
        <v>RLOM SanitaryTerminals</v>
      </c>
      <c r="AA233" s="172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</row>
    <row r="234" spans="1:40" ht="64.5" customHeight="1">
      <c r="A234" s="190">
        <v>3</v>
      </c>
      <c r="B234" s="190" t="s">
        <v>538</v>
      </c>
      <c r="C234" s="190">
        <v>31</v>
      </c>
      <c r="D234" s="191" t="s">
        <v>1151</v>
      </c>
      <c r="E234" s="192">
        <v>315</v>
      </c>
      <c r="F234" s="192" t="s">
        <v>1642</v>
      </c>
      <c r="G234" s="191"/>
      <c r="H234" s="222" t="str">
        <f>HYPERLINK("http://bsdd.buildingsmart.org/#concept/details/3ynnEfBnbAZQTYOZ2rzCHR","3ynnEfBnbAZQTYOZ2rzCHR")</f>
        <v>3ynnEfBnbAZQTYOZ2rzCHR</v>
      </c>
      <c r="I234" s="123" t="s">
        <v>2061</v>
      </c>
      <c r="J234" s="195" t="s">
        <v>3858</v>
      </c>
      <c r="K234" s="191"/>
      <c r="L234" s="250" t="str">
        <f t="shared" ca="1" si="10"/>
        <v>fixed shower</v>
      </c>
      <c r="M234" s="210"/>
      <c r="N234" s="198" t="s">
        <v>1707</v>
      </c>
      <c r="O234" s="198" t="s">
        <v>1708</v>
      </c>
      <c r="P234" s="198" t="s">
        <v>2067</v>
      </c>
      <c r="Q234" s="196" t="s">
        <v>1680</v>
      </c>
      <c r="R234" s="198" t="s">
        <v>1681</v>
      </c>
      <c r="S234" s="198" t="s">
        <v>2073</v>
      </c>
      <c r="T234" s="203" t="s">
        <v>2075</v>
      </c>
      <c r="U234" s="200"/>
      <c r="V234" s="200"/>
      <c r="W234" s="226" t="s">
        <v>3728</v>
      </c>
      <c r="X234" s="226"/>
      <c r="Y234" s="226" t="s">
        <v>3729</v>
      </c>
      <c r="Z234" s="202" t="str">
        <f t="shared" si="0"/>
        <v>RLOM SanitaryTerminals</v>
      </c>
      <c r="AA234" s="172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</row>
    <row r="235" spans="1:40" ht="78" customHeight="1">
      <c r="A235" s="190">
        <v>3</v>
      </c>
      <c r="B235" s="190" t="s">
        <v>538</v>
      </c>
      <c r="C235" s="190">
        <v>31</v>
      </c>
      <c r="D235" s="191" t="s">
        <v>1151</v>
      </c>
      <c r="E235" s="192">
        <v>315</v>
      </c>
      <c r="F235" s="192" t="s">
        <v>1642</v>
      </c>
      <c r="G235" s="191"/>
      <c r="H235" s="222" t="str">
        <f>HYPERLINK("http://bsdd.buildingsmart.org/#concept/details/2F3ocPCB9AhfPRdvOvsxsP","2F3ocPCB9AhfPRdvOvsxsP")</f>
        <v>2F3ocPCB9AhfPRdvOvsxsP</v>
      </c>
      <c r="I235" s="123" t="s">
        <v>2077</v>
      </c>
      <c r="J235" s="195" t="s">
        <v>3859</v>
      </c>
      <c r="K235" s="191" t="s">
        <v>2079</v>
      </c>
      <c r="L235" s="250" t="str">
        <f t="shared" ca="1" si="10"/>
        <v>fixed shower</v>
      </c>
      <c r="M235" s="210"/>
      <c r="N235" s="198" t="s">
        <v>2081</v>
      </c>
      <c r="O235" s="198" t="s">
        <v>2083</v>
      </c>
      <c r="P235" s="198" t="s">
        <v>2085</v>
      </c>
      <c r="Q235" s="198" t="s">
        <v>1649</v>
      </c>
      <c r="R235" s="198" t="s">
        <v>1650</v>
      </c>
      <c r="S235" s="198" t="s">
        <v>2087</v>
      </c>
      <c r="T235" s="203"/>
      <c r="U235" s="200"/>
      <c r="V235" s="200"/>
      <c r="W235" s="226" t="s">
        <v>3684</v>
      </c>
      <c r="X235" s="226"/>
      <c r="Y235" s="226" t="s">
        <v>3697</v>
      </c>
      <c r="Z235" s="202" t="str">
        <f t="shared" si="0"/>
        <v>RLOM WasteTerminals</v>
      </c>
      <c r="AA235" s="172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</row>
    <row r="236" spans="1:40" ht="64.5" customHeight="1">
      <c r="A236" s="190">
        <v>3</v>
      </c>
      <c r="B236" s="190" t="s">
        <v>538</v>
      </c>
      <c r="C236" s="190">
        <v>31</v>
      </c>
      <c r="D236" s="191" t="s">
        <v>1151</v>
      </c>
      <c r="E236" s="192">
        <v>315</v>
      </c>
      <c r="F236" s="192" t="s">
        <v>1642</v>
      </c>
      <c r="G236" s="191"/>
      <c r="H236" s="222" t="str">
        <f>HYPERLINK("http://bsdd.buildingsmart.org/#concept/details/3fYqfFkHj3exTr00Kedcir","3fYqfFkHj3exTr00Kedcir")</f>
        <v>3fYqfFkHj3exTr00Kedcir</v>
      </c>
      <c r="I236" s="123" t="s">
        <v>2090</v>
      </c>
      <c r="J236" s="195" t="s">
        <v>3860</v>
      </c>
      <c r="K236" s="191"/>
      <c r="L236" s="250" t="s">
        <v>3861</v>
      </c>
      <c r="M236" s="210"/>
      <c r="N236" s="198" t="s">
        <v>1957</v>
      </c>
      <c r="O236" s="198" t="s">
        <v>1958</v>
      </c>
      <c r="P236" s="198" t="s">
        <v>1974</v>
      </c>
      <c r="Q236" s="196" t="s">
        <v>1680</v>
      </c>
      <c r="R236" s="198" t="s">
        <v>1681</v>
      </c>
      <c r="S236" s="198" t="s">
        <v>1975</v>
      </c>
      <c r="T236" s="203" t="s">
        <v>2097</v>
      </c>
      <c r="U236" s="200"/>
      <c r="V236" s="200"/>
      <c r="W236" s="226" t="s">
        <v>3728</v>
      </c>
      <c r="X236" s="226"/>
      <c r="Y236" s="226" t="s">
        <v>3729</v>
      </c>
      <c r="Z236" s="202" t="str">
        <f t="shared" si="0"/>
        <v>RLOM SanitaryTerminals</v>
      </c>
      <c r="AA236" s="172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</row>
    <row r="237" spans="1:40" ht="78" customHeight="1">
      <c r="A237" s="190">
        <v>3</v>
      </c>
      <c r="B237" s="190" t="s">
        <v>538</v>
      </c>
      <c r="C237" s="190">
        <v>31</v>
      </c>
      <c r="D237" s="191" t="s">
        <v>1151</v>
      </c>
      <c r="E237" s="192">
        <v>315</v>
      </c>
      <c r="F237" s="192" t="s">
        <v>1642</v>
      </c>
      <c r="G237" s="191"/>
      <c r="H237" s="222" t="str">
        <f>HYPERLINK("http://bsdd.buildingsmart.org/#concept/details/0fkmhU6XP4XvybNklVTrnd","0fkmhU6XP4XvybNklVTrnd")</f>
        <v>0fkmhU6XP4XvybNklVTrnd</v>
      </c>
      <c r="I237" s="123" t="s">
        <v>2105</v>
      </c>
      <c r="J237" s="195" t="s">
        <v>3862</v>
      </c>
      <c r="K237" s="191"/>
      <c r="L237" s="250" t="str">
        <f t="shared" ref="L237:L242" ca="1" si="11">IFERROR(__xludf.DUMMYFUNCTION(GOOGLETRANSLATE(J237,"no","en")),"multi drain")</f>
        <v>multi drain</v>
      </c>
      <c r="M237" s="210"/>
      <c r="N237" s="198" t="s">
        <v>1645</v>
      </c>
      <c r="O237" s="198" t="s">
        <v>1646</v>
      </c>
      <c r="P237" s="198" t="s">
        <v>2106</v>
      </c>
      <c r="Q237" s="198" t="s">
        <v>1649</v>
      </c>
      <c r="R237" s="198" t="s">
        <v>1650</v>
      </c>
      <c r="S237" s="198" t="s">
        <v>2108</v>
      </c>
      <c r="T237" s="203"/>
      <c r="U237" s="200"/>
      <c r="V237" s="200"/>
      <c r="W237" s="226" t="s">
        <v>3684</v>
      </c>
      <c r="X237" s="226"/>
      <c r="Y237" s="226" t="s">
        <v>3697</v>
      </c>
      <c r="Z237" s="202" t="str">
        <f t="shared" si="0"/>
        <v>RLOM WasteTerminals</v>
      </c>
      <c r="AA237" s="172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</row>
    <row r="238" spans="1:40" ht="64.5" customHeight="1">
      <c r="A238" s="190">
        <v>3</v>
      </c>
      <c r="B238" s="190" t="s">
        <v>538</v>
      </c>
      <c r="C238" s="190">
        <v>31</v>
      </c>
      <c r="D238" s="191" t="s">
        <v>1151</v>
      </c>
      <c r="E238" s="192">
        <v>315</v>
      </c>
      <c r="F238" s="192" t="s">
        <v>1642</v>
      </c>
      <c r="G238" s="191"/>
      <c r="H238" s="222" t="str">
        <f>HYPERLINK("http://bsdd.buildingsmart.org/#concept/details/0zBatPqqf3OhuLw$JgSaXC","0zBatPqqf3OhuLw$JgSaXC")</f>
        <v>0zBatPqqf3OhuLw$JgSaXC</v>
      </c>
      <c r="I238" s="123" t="s">
        <v>2115</v>
      </c>
      <c r="J238" s="195" t="s">
        <v>3863</v>
      </c>
      <c r="K238" s="191" t="s">
        <v>2115</v>
      </c>
      <c r="L238" s="250" t="str">
        <f t="shared" ca="1" si="11"/>
        <v>multi drain</v>
      </c>
      <c r="M238" s="210"/>
      <c r="N238" s="198" t="s">
        <v>1905</v>
      </c>
      <c r="O238" s="198" t="s">
        <v>1906</v>
      </c>
      <c r="P238" s="198" t="s">
        <v>1909</v>
      </c>
      <c r="Q238" s="196" t="s">
        <v>1680</v>
      </c>
      <c r="R238" s="198" t="s">
        <v>1681</v>
      </c>
      <c r="S238" s="198" t="s">
        <v>1848</v>
      </c>
      <c r="T238" s="203" t="s">
        <v>2118</v>
      </c>
      <c r="U238" s="200"/>
      <c r="V238" s="200"/>
      <c r="W238" s="226" t="s">
        <v>3728</v>
      </c>
      <c r="X238" s="226" t="s">
        <v>3864</v>
      </c>
      <c r="Y238" s="226" t="s">
        <v>3729</v>
      </c>
      <c r="Z238" s="202" t="str">
        <f t="shared" si="0"/>
        <v>RLOM SanitaryTerminals</v>
      </c>
      <c r="AA238" s="172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</row>
    <row r="239" spans="1:40" ht="64.5" customHeight="1">
      <c r="A239" s="190">
        <v>3</v>
      </c>
      <c r="B239" s="190" t="s">
        <v>538</v>
      </c>
      <c r="C239" s="190">
        <v>31</v>
      </c>
      <c r="D239" s="191" t="s">
        <v>1151</v>
      </c>
      <c r="E239" s="192">
        <v>315</v>
      </c>
      <c r="F239" s="192" t="s">
        <v>1642</v>
      </c>
      <c r="G239" s="191"/>
      <c r="H239" s="222" t="str">
        <f>HYPERLINK("http://bsdd.buildingsmart.org/#concept/details/3cs3vyWD10kPhZSw8dTdgZ","3cs3vyWD10kPhZSw8dTdgZ")</f>
        <v>3cs3vyWD10kPhZSw8dTdgZ</v>
      </c>
      <c r="I239" s="123" t="s">
        <v>2123</v>
      </c>
      <c r="J239" s="195" t="s">
        <v>3865</v>
      </c>
      <c r="K239" s="191" t="s">
        <v>2125</v>
      </c>
      <c r="L239" s="250" t="str">
        <f t="shared" ca="1" si="11"/>
        <v>multi drain</v>
      </c>
      <c r="M239" s="210"/>
      <c r="N239" s="198" t="s">
        <v>1905</v>
      </c>
      <c r="O239" s="198" t="s">
        <v>2130</v>
      </c>
      <c r="P239" s="198" t="s">
        <v>1909</v>
      </c>
      <c r="Q239" s="196" t="s">
        <v>1680</v>
      </c>
      <c r="R239" s="198" t="s">
        <v>1681</v>
      </c>
      <c r="S239" s="198" t="s">
        <v>1848</v>
      </c>
      <c r="T239" s="203" t="s">
        <v>2118</v>
      </c>
      <c r="U239" s="200"/>
      <c r="V239" s="200"/>
      <c r="W239" s="226" t="s">
        <v>3728</v>
      </c>
      <c r="X239" s="226"/>
      <c r="Y239" s="226" t="s">
        <v>3729</v>
      </c>
      <c r="Z239" s="202" t="str">
        <f t="shared" si="0"/>
        <v>RLOM SanitaryTerminals</v>
      </c>
      <c r="AA239" s="172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</row>
    <row r="240" spans="1:40" ht="64.5" customHeight="1">
      <c r="A240" s="190">
        <v>3</v>
      </c>
      <c r="B240" s="190" t="s">
        <v>538</v>
      </c>
      <c r="C240" s="190">
        <v>31</v>
      </c>
      <c r="D240" s="191" t="s">
        <v>1151</v>
      </c>
      <c r="E240" s="192">
        <v>315</v>
      </c>
      <c r="F240" s="192" t="s">
        <v>1642</v>
      </c>
      <c r="G240" s="191"/>
      <c r="H240" s="222" t="str">
        <f>HYPERLINK("http://bsdd.buildingsmart.org/#concept/details/0DEZMK5SX0YxWiEHS0AAFD","0DEZMK5SX0YxWiEHS0AAFD")</f>
        <v>0DEZMK5SX0YxWiEHS0AAFD</v>
      </c>
      <c r="I240" s="123" t="s">
        <v>2135</v>
      </c>
      <c r="J240" s="195" t="s">
        <v>3866</v>
      </c>
      <c r="K240" s="191"/>
      <c r="L240" s="250" t="str">
        <f t="shared" ca="1" si="11"/>
        <v>multi drain</v>
      </c>
      <c r="M240" s="210"/>
      <c r="N240" s="198" t="s">
        <v>1957</v>
      </c>
      <c r="O240" s="198" t="s">
        <v>1958</v>
      </c>
      <c r="P240" s="198" t="s">
        <v>1974</v>
      </c>
      <c r="Q240" s="196" t="s">
        <v>1680</v>
      </c>
      <c r="R240" s="198" t="s">
        <v>1681</v>
      </c>
      <c r="S240" s="198" t="s">
        <v>1975</v>
      </c>
      <c r="T240" s="203" t="s">
        <v>2140</v>
      </c>
      <c r="U240" s="200"/>
      <c r="V240" s="200"/>
      <c r="W240" s="226" t="s">
        <v>3728</v>
      </c>
      <c r="X240" s="226"/>
      <c r="Y240" s="226" t="s">
        <v>3729</v>
      </c>
      <c r="Z240" s="202" t="str">
        <f t="shared" si="0"/>
        <v>RLOM SanitaryTerminals</v>
      </c>
      <c r="AA240" s="172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</row>
    <row r="241" spans="1:40" ht="64.5" customHeight="1">
      <c r="A241" s="190">
        <v>3</v>
      </c>
      <c r="B241" s="190" t="s">
        <v>538</v>
      </c>
      <c r="C241" s="190">
        <v>31</v>
      </c>
      <c r="D241" s="191" t="s">
        <v>1151</v>
      </c>
      <c r="E241" s="192">
        <v>315</v>
      </c>
      <c r="F241" s="192" t="s">
        <v>1642</v>
      </c>
      <c r="G241" s="191"/>
      <c r="H241" s="222" t="str">
        <f>HYPERLINK("http://bsdd.buildingsmart.org/#concept/details/0w5ftRivL8g8zyWxOCCKf9","0w5ftRivL8g8zyWxOCCKf9")</f>
        <v>0w5ftRivL8g8zyWxOCCKf9</v>
      </c>
      <c r="I241" s="123" t="s">
        <v>2145</v>
      </c>
      <c r="J241" s="195" t="s">
        <v>3867</v>
      </c>
      <c r="K241" s="191"/>
      <c r="L241" s="250" t="str">
        <f t="shared" ca="1" si="11"/>
        <v>multi drain</v>
      </c>
      <c r="M241" s="210"/>
      <c r="N241" s="198" t="s">
        <v>1957</v>
      </c>
      <c r="O241" s="198" t="s">
        <v>1958</v>
      </c>
      <c r="P241" s="198" t="s">
        <v>1974</v>
      </c>
      <c r="Q241" s="196" t="s">
        <v>1680</v>
      </c>
      <c r="R241" s="198" t="s">
        <v>1681</v>
      </c>
      <c r="S241" s="198" t="s">
        <v>1975</v>
      </c>
      <c r="T241" s="203" t="s">
        <v>2150</v>
      </c>
      <c r="U241" s="200"/>
      <c r="V241" s="200"/>
      <c r="W241" s="226" t="s">
        <v>3728</v>
      </c>
      <c r="X241" s="226"/>
      <c r="Y241" s="226" t="s">
        <v>3729</v>
      </c>
      <c r="Z241" s="202" t="str">
        <f t="shared" si="0"/>
        <v>RLOM SanitaryTerminals</v>
      </c>
      <c r="AA241" s="172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</row>
    <row r="242" spans="1:40" ht="64.5" customHeight="1">
      <c r="A242" s="190">
        <v>3</v>
      </c>
      <c r="B242" s="190" t="s">
        <v>538</v>
      </c>
      <c r="C242" s="190">
        <v>31</v>
      </c>
      <c r="D242" s="191" t="s">
        <v>1151</v>
      </c>
      <c r="E242" s="192">
        <v>315</v>
      </c>
      <c r="F242" s="192" t="s">
        <v>1642</v>
      </c>
      <c r="G242" s="191"/>
      <c r="H242" s="222" t="str">
        <f>HYPERLINK("http://bsdd.buildingsmart.org/#concept/details/1ad0qxKEzEUf7X22rfdapP","1ad0qxKEzEUf7X22rfdapP")</f>
        <v>1ad0qxKEzEUf7X22rfdapP</v>
      </c>
      <c r="I242" s="123" t="s">
        <v>2154</v>
      </c>
      <c r="J242" s="195" t="s">
        <v>3868</v>
      </c>
      <c r="K242" s="191"/>
      <c r="L242" s="250" t="str">
        <f t="shared" ca="1" si="11"/>
        <v>multi drain</v>
      </c>
      <c r="M242" s="210"/>
      <c r="N242" s="198" t="s">
        <v>1957</v>
      </c>
      <c r="O242" s="198" t="s">
        <v>1958</v>
      </c>
      <c r="P242" s="198" t="s">
        <v>1974</v>
      </c>
      <c r="Q242" s="196" t="s">
        <v>1680</v>
      </c>
      <c r="R242" s="198" t="s">
        <v>1681</v>
      </c>
      <c r="S242" s="198" t="s">
        <v>1975</v>
      </c>
      <c r="T242" s="203" t="s">
        <v>2156</v>
      </c>
      <c r="U242" s="200"/>
      <c r="V242" s="200"/>
      <c r="W242" s="226" t="s">
        <v>3728</v>
      </c>
      <c r="X242" s="226"/>
      <c r="Y242" s="226" t="s">
        <v>3729</v>
      </c>
      <c r="Z242" s="202" t="str">
        <f t="shared" si="0"/>
        <v>RLOM SanitaryTerminals</v>
      </c>
      <c r="AA242" s="172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</row>
    <row r="243" spans="1:40" ht="78" customHeight="1">
      <c r="A243" s="190">
        <v>3</v>
      </c>
      <c r="B243" s="190" t="s">
        <v>538</v>
      </c>
      <c r="C243" s="190">
        <v>31</v>
      </c>
      <c r="D243" s="191" t="s">
        <v>1151</v>
      </c>
      <c r="E243" s="192">
        <v>315</v>
      </c>
      <c r="F243" s="192" t="s">
        <v>1642</v>
      </c>
      <c r="G243" s="191"/>
      <c r="H243" s="222" t="str">
        <f>HYPERLINK("http://bsdd.buildingsmart.org/#concept/details/3tqg$VpubBguA5E2RY2JFB","3tqg$VpubBguA5E2RY2JFB")</f>
        <v>3tqg$VpubBguA5E2RY2JFB</v>
      </c>
      <c r="I243" s="123" t="s">
        <v>2164</v>
      </c>
      <c r="J243" s="195" t="s">
        <v>3869</v>
      </c>
      <c r="K243" s="191" t="s">
        <v>2166</v>
      </c>
      <c r="L243" s="250" t="s">
        <v>3870</v>
      </c>
      <c r="M243" s="210"/>
      <c r="N243" s="198" t="s">
        <v>2168</v>
      </c>
      <c r="O243" s="198" t="s">
        <v>1169</v>
      </c>
      <c r="P243" s="198"/>
      <c r="Q243" s="198" t="s">
        <v>1649</v>
      </c>
      <c r="R243" s="198" t="s">
        <v>1650</v>
      </c>
      <c r="S243" s="198" t="s">
        <v>2172</v>
      </c>
      <c r="T243" s="203"/>
      <c r="U243" s="200"/>
      <c r="V243" s="200"/>
      <c r="W243" s="226" t="s">
        <v>3684</v>
      </c>
      <c r="X243" s="226"/>
      <c r="Y243" s="226" t="s">
        <v>3697</v>
      </c>
      <c r="Z243" s="202" t="str">
        <f t="shared" si="0"/>
        <v>RLOM WasteTerminals</v>
      </c>
      <c r="AA243" s="172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</row>
    <row r="244" spans="1:40" ht="78" customHeight="1">
      <c r="A244" s="190">
        <v>3</v>
      </c>
      <c r="B244" s="190" t="s">
        <v>538</v>
      </c>
      <c r="C244" s="190">
        <v>31</v>
      </c>
      <c r="D244" s="191" t="s">
        <v>1151</v>
      </c>
      <c r="E244" s="192">
        <v>315</v>
      </c>
      <c r="F244" s="192" t="s">
        <v>1642</v>
      </c>
      <c r="G244" s="191"/>
      <c r="H244" s="222" t="str">
        <f>HYPERLINK("http://bsdd.buildingsmart.org/#concept/details/2stHwngG165gbY4mryXnpp","2stHwngG165gbY4mryXnpp")</f>
        <v>2stHwngG165gbY4mryXnpp</v>
      </c>
      <c r="I244" s="123" t="s">
        <v>2179</v>
      </c>
      <c r="J244" s="195" t="s">
        <v>3871</v>
      </c>
      <c r="K244" s="191" t="s">
        <v>2181</v>
      </c>
      <c r="L244" s="250" t="s">
        <v>3872</v>
      </c>
      <c r="M244" s="210"/>
      <c r="N244" s="198" t="s">
        <v>2168</v>
      </c>
      <c r="O244" s="198" t="s">
        <v>1169</v>
      </c>
      <c r="P244" s="198"/>
      <c r="Q244" s="198" t="s">
        <v>1649</v>
      </c>
      <c r="R244" s="198" t="s">
        <v>1650</v>
      </c>
      <c r="S244" s="198" t="s">
        <v>2172</v>
      </c>
      <c r="T244" s="203"/>
      <c r="U244" s="200"/>
      <c r="V244" s="200"/>
      <c r="W244" s="226" t="s">
        <v>3684</v>
      </c>
      <c r="X244" s="226"/>
      <c r="Y244" s="226" t="s">
        <v>3697</v>
      </c>
      <c r="Z244" s="202" t="str">
        <f t="shared" si="0"/>
        <v>RLOM WasteTerminals</v>
      </c>
      <c r="AA244" s="172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</row>
    <row r="245" spans="1:40" ht="64.5" customHeight="1">
      <c r="A245" s="190">
        <v>3</v>
      </c>
      <c r="B245" s="190" t="s">
        <v>538</v>
      </c>
      <c r="C245" s="190">
        <v>31</v>
      </c>
      <c r="D245" s="191" t="s">
        <v>1151</v>
      </c>
      <c r="E245" s="192">
        <v>315</v>
      </c>
      <c r="F245" s="192" t="s">
        <v>1642</v>
      </c>
      <c r="G245" s="191"/>
      <c r="H245" s="222" t="str">
        <f>HYPERLINK("http://bsdd.buildingsmart.org/#concept/details/2CyzTzsn557wDuLQR$kTPV","2CyzTzsn557wDuLQR$kTPV")</f>
        <v>2CyzTzsn557wDuLQR$kTPV</v>
      </c>
      <c r="I245" s="123" t="s">
        <v>2196</v>
      </c>
      <c r="J245" s="195" t="s">
        <v>3873</v>
      </c>
      <c r="K245" s="191" t="s">
        <v>2198</v>
      </c>
      <c r="L245" s="250" t="str">
        <f t="shared" ref="L245:L246" ca="1" si="12">IFERROR(__xludf.DUMMYFUNCTION(GOOGLETRANSLATE(J245,"no","en")),"pissoir")</f>
        <v>pissoir</v>
      </c>
      <c r="M245" s="210"/>
      <c r="N245" s="198" t="s">
        <v>1707</v>
      </c>
      <c r="O245" s="198" t="s">
        <v>1708</v>
      </c>
      <c r="P245" s="198" t="s">
        <v>2196</v>
      </c>
      <c r="Q245" s="196" t="s">
        <v>1680</v>
      </c>
      <c r="R245" s="198" t="s">
        <v>1681</v>
      </c>
      <c r="S245" s="198" t="s">
        <v>2200</v>
      </c>
      <c r="T245" s="203"/>
      <c r="U245" s="200"/>
      <c r="V245" s="200"/>
      <c r="W245" s="226" t="s">
        <v>3728</v>
      </c>
      <c r="X245" s="226"/>
      <c r="Y245" s="226" t="s">
        <v>3729</v>
      </c>
      <c r="Z245" s="202" t="str">
        <f t="shared" si="0"/>
        <v>RLOM SanitaryTerminals</v>
      </c>
      <c r="AA245" s="172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</row>
    <row r="246" spans="1:40" ht="27" customHeight="1">
      <c r="A246" s="190">
        <v>3</v>
      </c>
      <c r="B246" s="190" t="s">
        <v>538</v>
      </c>
      <c r="C246" s="190">
        <v>31</v>
      </c>
      <c r="D246" s="191" t="s">
        <v>1151</v>
      </c>
      <c r="E246" s="192">
        <v>315</v>
      </c>
      <c r="F246" s="192" t="s">
        <v>1642</v>
      </c>
      <c r="G246" s="193" t="s">
        <v>1772</v>
      </c>
      <c r="H246" s="208" t="str">
        <f>HYPERLINK("http://bsdd.buildingsmart.org/#concept/details/0Ed2LTD055hheWwtICwHer","0Ed2LTD055hheWwtICwHer")</f>
        <v>0Ed2LTD055hheWwtICwHer</v>
      </c>
      <c r="I246" s="119" t="s">
        <v>4937</v>
      </c>
      <c r="J246" s="209" t="s">
        <v>3874</v>
      </c>
      <c r="K246" s="206"/>
      <c r="L246" s="250" t="str">
        <f t="shared" ca="1" si="12"/>
        <v>pissoir</v>
      </c>
      <c r="M246" s="198"/>
      <c r="N246" s="198" t="s">
        <v>2203</v>
      </c>
      <c r="O246" s="198" t="s">
        <v>2204</v>
      </c>
      <c r="P246" s="198" t="s">
        <v>2206</v>
      </c>
      <c r="Q246" s="198" t="s">
        <v>1779</v>
      </c>
      <c r="R246" s="198" t="s">
        <v>1780</v>
      </c>
      <c r="S246" s="198" t="s">
        <v>2209</v>
      </c>
      <c r="T246" s="199"/>
      <c r="U246" s="198"/>
      <c r="V246" s="198"/>
      <c r="W246" s="198"/>
      <c r="X246" s="198"/>
      <c r="Y246" s="198"/>
      <c r="Z246" s="202" t="str">
        <f t="shared" si="0"/>
        <v>RLOM Pumps</v>
      </c>
      <c r="AA246" s="172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</row>
    <row r="247" spans="1:40" ht="64.5" customHeight="1">
      <c r="A247" s="190">
        <v>3</v>
      </c>
      <c r="B247" s="190" t="s">
        <v>538</v>
      </c>
      <c r="C247" s="190">
        <v>31</v>
      </c>
      <c r="D247" s="191" t="s">
        <v>1151</v>
      </c>
      <c r="E247" s="192">
        <v>315</v>
      </c>
      <c r="F247" s="192" t="s">
        <v>1642</v>
      </c>
      <c r="G247" s="191"/>
      <c r="H247" s="212" t="str">
        <f>HYPERLINK("http://bsdd.buildingsmart.org/#concept/details/0FFkBH6zb4jxLbglSROX83","0FFkBH6zb4jxLbglSROX83")</f>
        <v>0FFkBH6zb4jxLbglSROX83</v>
      </c>
      <c r="I247" s="123" t="s">
        <v>4938</v>
      </c>
      <c r="J247" s="195" t="s">
        <v>3875</v>
      </c>
      <c r="K247" s="191" t="s">
        <v>2215</v>
      </c>
      <c r="L247" s="248" t="s">
        <v>3876</v>
      </c>
      <c r="M247" s="210"/>
      <c r="N247" s="198" t="s">
        <v>1957</v>
      </c>
      <c r="O247" s="198" t="s">
        <v>1958</v>
      </c>
      <c r="P247" s="198" t="s">
        <v>1959</v>
      </c>
      <c r="Q247" s="196" t="s">
        <v>1680</v>
      </c>
      <c r="R247" s="198" t="s">
        <v>1681</v>
      </c>
      <c r="S247" s="198" t="s">
        <v>1963</v>
      </c>
      <c r="T247" s="203" t="s">
        <v>2218</v>
      </c>
      <c r="U247" s="200"/>
      <c r="V247" s="200"/>
      <c r="W247" s="226" t="s">
        <v>3728</v>
      </c>
      <c r="X247" s="226"/>
      <c r="Y247" s="226" t="s">
        <v>3729</v>
      </c>
      <c r="Z247" s="202" t="str">
        <f t="shared" si="0"/>
        <v>RLOM SanitaryTerminals</v>
      </c>
      <c r="AA247" s="172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</row>
    <row r="248" spans="1:40" ht="64.5" customHeight="1">
      <c r="A248" s="190">
        <v>3</v>
      </c>
      <c r="B248" s="190" t="s">
        <v>538</v>
      </c>
      <c r="C248" s="190">
        <v>31</v>
      </c>
      <c r="D248" s="191" t="s">
        <v>1151</v>
      </c>
      <c r="E248" s="192">
        <v>315</v>
      </c>
      <c r="F248" s="192" t="s">
        <v>1642</v>
      </c>
      <c r="G248" s="191"/>
      <c r="H248" s="212" t="str">
        <f>HYPERLINK("http://bsdd.buildingsmart.org/#concept/details/21nDbnq$1EyvTQdN685_Ng","21nDbnq$1EyvTQdN685_Ng")</f>
        <v>21nDbnq$1EyvTQdN685_Ng</v>
      </c>
      <c r="I248" s="123" t="s">
        <v>4939</v>
      </c>
      <c r="J248" s="195" t="s">
        <v>3877</v>
      </c>
      <c r="K248" s="191" t="s">
        <v>2228</v>
      </c>
      <c r="L248" s="248" t="s">
        <v>3878</v>
      </c>
      <c r="M248" s="210"/>
      <c r="N248" s="198" t="s">
        <v>1957</v>
      </c>
      <c r="O248" s="198" t="s">
        <v>1958</v>
      </c>
      <c r="P248" s="198" t="s">
        <v>1959</v>
      </c>
      <c r="Q248" s="196" t="s">
        <v>1680</v>
      </c>
      <c r="R248" s="198" t="s">
        <v>1681</v>
      </c>
      <c r="S248" s="198" t="s">
        <v>1963</v>
      </c>
      <c r="T248" s="203" t="s">
        <v>2235</v>
      </c>
      <c r="U248" s="200"/>
      <c r="V248" s="200"/>
      <c r="W248" s="226" t="s">
        <v>3728</v>
      </c>
      <c r="X248" s="226"/>
      <c r="Y248" s="226" t="s">
        <v>3729</v>
      </c>
      <c r="Z248" s="202" t="str">
        <f t="shared" si="0"/>
        <v>RLOM SanitaryTerminals</v>
      </c>
      <c r="AA248" s="172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</row>
    <row r="249" spans="1:40" ht="64.5" customHeight="1">
      <c r="A249" s="190">
        <v>3</v>
      </c>
      <c r="B249" s="190" t="s">
        <v>538</v>
      </c>
      <c r="C249" s="190">
        <v>31</v>
      </c>
      <c r="D249" s="191" t="s">
        <v>1151</v>
      </c>
      <c r="E249" s="192">
        <v>315</v>
      </c>
      <c r="F249" s="192" t="s">
        <v>1642</v>
      </c>
      <c r="G249" s="191"/>
      <c r="H249" s="212" t="str">
        <f>HYPERLINK("http://bsdd.buildingsmart.org/#concept/details/1sYmuUM218sOJNC5AxzH7y","1sYmuUM218sOJNC5AxzH7y")</f>
        <v>1sYmuUM218sOJNC5AxzH7y</v>
      </c>
      <c r="I249" s="123" t="s">
        <v>4940</v>
      </c>
      <c r="J249" s="195" t="s">
        <v>3879</v>
      </c>
      <c r="K249" s="191" t="s">
        <v>2238</v>
      </c>
      <c r="L249" s="248" t="s">
        <v>3880</v>
      </c>
      <c r="M249" s="210"/>
      <c r="N249" s="198" t="s">
        <v>1957</v>
      </c>
      <c r="O249" s="198" t="s">
        <v>1958</v>
      </c>
      <c r="P249" s="198" t="s">
        <v>1959</v>
      </c>
      <c r="Q249" s="196" t="s">
        <v>1680</v>
      </c>
      <c r="R249" s="198" t="s">
        <v>1681</v>
      </c>
      <c r="S249" s="198" t="s">
        <v>1963</v>
      </c>
      <c r="T249" s="203" t="s">
        <v>2243</v>
      </c>
      <c r="U249" s="200"/>
      <c r="V249" s="200"/>
      <c r="W249" s="226" t="s">
        <v>3728</v>
      </c>
      <c r="X249" s="226"/>
      <c r="Y249" s="226" t="s">
        <v>3729</v>
      </c>
      <c r="Z249" s="202" t="str">
        <f t="shared" si="0"/>
        <v>RLOM SanitaryTerminals</v>
      </c>
      <c r="AA249" s="172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</row>
    <row r="250" spans="1:40" ht="64.5" customHeight="1">
      <c r="A250" s="190">
        <v>3</v>
      </c>
      <c r="B250" s="190" t="s">
        <v>538</v>
      </c>
      <c r="C250" s="190">
        <v>31</v>
      </c>
      <c r="D250" s="191" t="s">
        <v>1151</v>
      </c>
      <c r="E250" s="192">
        <v>315</v>
      </c>
      <c r="F250" s="192" t="s">
        <v>1642</v>
      </c>
      <c r="G250" s="191"/>
      <c r="H250" s="212" t="str">
        <f>HYPERLINK("http://bsdd.buildingsmart.org/#concept/details/261TTkom52jP5HvxML_Mmt","261TTkom52jP5HvxML_Mmt")</f>
        <v>261TTkom52jP5HvxML_Mmt</v>
      </c>
      <c r="I250" s="123" t="s">
        <v>4941</v>
      </c>
      <c r="J250" s="195" t="s">
        <v>3881</v>
      </c>
      <c r="K250" s="191" t="s">
        <v>2245</v>
      </c>
      <c r="L250" s="248" t="s">
        <v>3882</v>
      </c>
      <c r="M250" s="210"/>
      <c r="N250" s="198" t="s">
        <v>1957</v>
      </c>
      <c r="O250" s="198" t="s">
        <v>1958</v>
      </c>
      <c r="P250" s="198" t="s">
        <v>1959</v>
      </c>
      <c r="Q250" s="196" t="s">
        <v>1680</v>
      </c>
      <c r="R250" s="198" t="s">
        <v>1681</v>
      </c>
      <c r="S250" s="198" t="s">
        <v>1963</v>
      </c>
      <c r="T250" s="203" t="s">
        <v>2246</v>
      </c>
      <c r="U250" s="200"/>
      <c r="V250" s="200"/>
      <c r="W250" s="226" t="s">
        <v>3728</v>
      </c>
      <c r="X250" s="226"/>
      <c r="Y250" s="226" t="s">
        <v>3729</v>
      </c>
      <c r="Z250" s="202" t="str">
        <f t="shared" si="0"/>
        <v>RLOM SanitaryTerminals</v>
      </c>
      <c r="AA250" s="172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</row>
    <row r="251" spans="1:40" ht="64.5" customHeight="1">
      <c r="A251" s="190">
        <v>3</v>
      </c>
      <c r="B251" s="190" t="s">
        <v>538</v>
      </c>
      <c r="C251" s="190">
        <v>31</v>
      </c>
      <c r="D251" s="191" t="s">
        <v>1151</v>
      </c>
      <c r="E251" s="192">
        <v>315</v>
      </c>
      <c r="F251" s="192" t="s">
        <v>1642</v>
      </c>
      <c r="G251" s="191"/>
      <c r="H251" s="212" t="str">
        <f>HYPERLINK("http://bsdd.buildingsmart.org/#concept/details/3YhqBrh1b7pfV0ia18cT3u","3YhqBrh1b7pfV0ia18cT3u")</f>
        <v>3YhqBrh1b7pfV0ia18cT3u</v>
      </c>
      <c r="I251" s="123" t="s">
        <v>4942</v>
      </c>
      <c r="J251" s="195" t="s">
        <v>3883</v>
      </c>
      <c r="K251" s="191" t="s">
        <v>2248</v>
      </c>
      <c r="L251" s="248" t="s">
        <v>3884</v>
      </c>
      <c r="M251" s="210"/>
      <c r="N251" s="198" t="s">
        <v>1957</v>
      </c>
      <c r="O251" s="198" t="s">
        <v>1958</v>
      </c>
      <c r="P251" s="198" t="s">
        <v>1959</v>
      </c>
      <c r="Q251" s="196" t="s">
        <v>1680</v>
      </c>
      <c r="R251" s="198" t="s">
        <v>1681</v>
      </c>
      <c r="S251" s="198" t="s">
        <v>1963</v>
      </c>
      <c r="T251" s="203" t="s">
        <v>2261</v>
      </c>
      <c r="U251" s="200"/>
      <c r="V251" s="200"/>
      <c r="W251" s="226" t="s">
        <v>3728</v>
      </c>
      <c r="X251" s="226"/>
      <c r="Y251" s="226" t="s">
        <v>3729</v>
      </c>
      <c r="Z251" s="202" t="str">
        <f t="shared" si="0"/>
        <v>RLOM SanitaryTerminals</v>
      </c>
      <c r="AA251" s="172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</row>
    <row r="252" spans="1:40" ht="64.5" customHeight="1">
      <c r="A252" s="190">
        <v>3</v>
      </c>
      <c r="B252" s="190" t="s">
        <v>538</v>
      </c>
      <c r="C252" s="190">
        <v>31</v>
      </c>
      <c r="D252" s="191" t="s">
        <v>1151</v>
      </c>
      <c r="E252" s="192">
        <v>315</v>
      </c>
      <c r="F252" s="192" t="s">
        <v>1642</v>
      </c>
      <c r="G252" s="191"/>
      <c r="H252" s="212" t="str">
        <f>HYPERLINK("http://bsdd.buildingsmart.org/#concept/details/07WWB4$EbEkBPonjPpSixa","07WWB4$EbEkBPonjPpSixa")</f>
        <v>07WWB4$EbEkBPonjPpSixa</v>
      </c>
      <c r="I252" s="123" t="s">
        <v>2262</v>
      </c>
      <c r="J252" s="195" t="s">
        <v>3885</v>
      </c>
      <c r="K252" s="191" t="s">
        <v>2262</v>
      </c>
      <c r="L252" s="248" t="s">
        <v>3886</v>
      </c>
      <c r="M252" s="210"/>
      <c r="N252" s="198" t="s">
        <v>1957</v>
      </c>
      <c r="O252" s="198" t="s">
        <v>1958</v>
      </c>
      <c r="P252" s="198" t="s">
        <v>1959</v>
      </c>
      <c r="Q252" s="196" t="s">
        <v>1680</v>
      </c>
      <c r="R252" s="198" t="s">
        <v>1681</v>
      </c>
      <c r="S252" s="198" t="s">
        <v>1963</v>
      </c>
      <c r="T252" s="203" t="s">
        <v>2263</v>
      </c>
      <c r="U252" s="200"/>
      <c r="V252" s="200"/>
      <c r="W252" s="226" t="s">
        <v>3728</v>
      </c>
      <c r="X252" s="226"/>
      <c r="Y252" s="226" t="s">
        <v>3729</v>
      </c>
      <c r="Z252" s="202" t="str">
        <f t="shared" si="0"/>
        <v>RLOM SanitaryTerminals</v>
      </c>
      <c r="AA252" s="172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</row>
    <row r="253" spans="1:40" ht="64.5" customHeight="1">
      <c r="A253" s="190">
        <v>3</v>
      </c>
      <c r="B253" s="190" t="s">
        <v>538</v>
      </c>
      <c r="C253" s="190">
        <v>31</v>
      </c>
      <c r="D253" s="191" t="s">
        <v>1151</v>
      </c>
      <c r="E253" s="192">
        <v>315</v>
      </c>
      <c r="F253" s="192" t="s">
        <v>1642</v>
      </c>
      <c r="G253" s="191"/>
      <c r="H253" s="212" t="str">
        <f>HYPERLINK("http://bsdd.buildingsmart.org/#concept/details/0RD2s03cuHtm00025QrE$V","0RD2s03cuHtm00025QrE$V")</f>
        <v>0RD2s03cuHtm00025QrE$V</v>
      </c>
      <c r="I253" s="123" t="s">
        <v>1958</v>
      </c>
      <c r="J253" s="195" t="s">
        <v>3136</v>
      </c>
      <c r="K253" s="191" t="s">
        <v>2271</v>
      </c>
      <c r="L253" s="248" t="s">
        <v>3887</v>
      </c>
      <c r="M253" s="210"/>
      <c r="N253" s="198" t="s">
        <v>1957</v>
      </c>
      <c r="O253" s="198" t="s">
        <v>1958</v>
      </c>
      <c r="P253" s="198" t="s">
        <v>1959</v>
      </c>
      <c r="Q253" s="196" t="s">
        <v>1680</v>
      </c>
      <c r="R253" s="198" t="s">
        <v>1681</v>
      </c>
      <c r="S253" s="198" t="s">
        <v>1963</v>
      </c>
      <c r="T253" s="203" t="s">
        <v>1966</v>
      </c>
      <c r="U253" s="200"/>
      <c r="V253" s="200"/>
      <c r="W253" s="226" t="s">
        <v>3728</v>
      </c>
      <c r="X253" s="226"/>
      <c r="Y253" s="226" t="s">
        <v>3729</v>
      </c>
      <c r="Z253" s="202" t="str">
        <f t="shared" si="0"/>
        <v>RLOM SanitaryTerminals</v>
      </c>
      <c r="AA253" s="172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</row>
    <row r="254" spans="1:40" ht="64.5" customHeight="1">
      <c r="A254" s="190">
        <v>3</v>
      </c>
      <c r="B254" s="190" t="s">
        <v>538</v>
      </c>
      <c r="C254" s="190">
        <v>31</v>
      </c>
      <c r="D254" s="191" t="s">
        <v>1151</v>
      </c>
      <c r="E254" s="192">
        <v>315</v>
      </c>
      <c r="F254" s="192" t="s">
        <v>1642</v>
      </c>
      <c r="G254" s="191"/>
      <c r="H254" s="212" t="str">
        <f>HYPERLINK("http://bsdd.buildingsmart.org/#concept/details/2jUxt0mrzEafsWioRJHufE","2jUxt0mrzEafsWioRJHufE")</f>
        <v>2jUxt0mrzEafsWioRJHufE</v>
      </c>
      <c r="I254" s="123" t="s">
        <v>4943</v>
      </c>
      <c r="J254" s="195" t="s">
        <v>3888</v>
      </c>
      <c r="K254" s="191" t="s">
        <v>2277</v>
      </c>
      <c r="L254" s="248" t="s">
        <v>3889</v>
      </c>
      <c r="M254" s="210"/>
      <c r="N254" s="198" t="s">
        <v>1957</v>
      </c>
      <c r="O254" s="198" t="s">
        <v>1958</v>
      </c>
      <c r="P254" s="198" t="s">
        <v>1959</v>
      </c>
      <c r="Q254" s="196" t="s">
        <v>1680</v>
      </c>
      <c r="R254" s="198" t="s">
        <v>1681</v>
      </c>
      <c r="S254" s="198" t="s">
        <v>1963</v>
      </c>
      <c r="T254" s="203" t="s">
        <v>1966</v>
      </c>
      <c r="U254" s="200"/>
      <c r="V254" s="200"/>
      <c r="W254" s="226" t="s">
        <v>3728</v>
      </c>
      <c r="X254" s="226"/>
      <c r="Y254" s="226" t="s">
        <v>3729</v>
      </c>
      <c r="Z254" s="202" t="str">
        <f t="shared" si="0"/>
        <v>RLOM SanitaryTerminals</v>
      </c>
      <c r="AA254" s="172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</row>
    <row r="255" spans="1:40" ht="27" customHeight="1">
      <c r="A255" s="190">
        <v>3</v>
      </c>
      <c r="B255" s="190" t="s">
        <v>538</v>
      </c>
      <c r="C255" s="190">
        <v>31</v>
      </c>
      <c r="D255" s="191" t="s">
        <v>1151</v>
      </c>
      <c r="E255" s="192">
        <v>315</v>
      </c>
      <c r="F255" s="192" t="s">
        <v>1642</v>
      </c>
      <c r="G255" s="193" t="s">
        <v>1772</v>
      </c>
      <c r="H255" s="208" t="str">
        <f>HYPERLINK("http://bsdd.buildingsmart.org/#concept/details/0ZlpWCzI5CSRbCotFF7H8G","0ZlpWCzI5CSRbCotFF7H8G")</f>
        <v>0ZlpWCzI5CSRbCotFF7H8G</v>
      </c>
      <c r="I255" s="119" t="s">
        <v>2281</v>
      </c>
      <c r="J255" s="209" t="s">
        <v>3890</v>
      </c>
      <c r="K255" s="206" t="s">
        <v>2282</v>
      </c>
      <c r="L255" s="247" t="s">
        <v>3891</v>
      </c>
      <c r="M255" s="198"/>
      <c r="N255" s="198" t="s">
        <v>1777</v>
      </c>
      <c r="O255" s="198" t="s">
        <v>2284</v>
      </c>
      <c r="P255" s="198" t="s">
        <v>2285</v>
      </c>
      <c r="Q255" s="198" t="s">
        <v>1779</v>
      </c>
      <c r="R255" s="198" t="s">
        <v>1780</v>
      </c>
      <c r="S255" s="198" t="s">
        <v>2287</v>
      </c>
      <c r="T255" s="199"/>
      <c r="U255" s="198"/>
      <c r="V255" s="198"/>
      <c r="W255" s="198"/>
      <c r="X255" s="198"/>
      <c r="Y255" s="198"/>
      <c r="Z255" s="202" t="str">
        <f t="shared" si="0"/>
        <v>RLOM Pumps</v>
      </c>
      <c r="AA255" s="172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</row>
    <row r="256" spans="1:40" ht="64.5" customHeight="1">
      <c r="A256" s="190">
        <v>3</v>
      </c>
      <c r="B256" s="190" t="s">
        <v>538</v>
      </c>
      <c r="C256" s="190">
        <v>31</v>
      </c>
      <c r="D256" s="191" t="s">
        <v>1151</v>
      </c>
      <c r="E256" s="192">
        <v>315</v>
      </c>
      <c r="F256" s="192" t="s">
        <v>1642</v>
      </c>
      <c r="G256" s="191"/>
      <c r="H256" s="222" t="str">
        <f>HYPERLINK("http://bsdd.buildingsmart.org/#concept/details/2jTiagbH96wBuf5tVceOCR","2jTiagbH96wBuf5tVceOCR")</f>
        <v>2jTiagbH96wBuf5tVceOCR</v>
      </c>
      <c r="I256" s="123" t="s">
        <v>2293</v>
      </c>
      <c r="J256" s="229" t="s">
        <v>3892</v>
      </c>
      <c r="K256" s="195" t="s">
        <v>3893</v>
      </c>
      <c r="L256" s="250" t="str">
        <f t="shared" ref="L256:L263" ca="1" si="13">IFERROR(__xludf.DUMMYFUNCTION(GOOGLETRANSLATE(J256,"no","en")),"cistern")</f>
        <v>cistern</v>
      </c>
      <c r="M256" s="210"/>
      <c r="N256" s="198" t="s">
        <v>1754</v>
      </c>
      <c r="O256" s="198" t="s">
        <v>1756</v>
      </c>
      <c r="P256" s="198" t="s">
        <v>2299</v>
      </c>
      <c r="Q256" s="196" t="s">
        <v>1680</v>
      </c>
      <c r="R256" s="198" t="s">
        <v>1681</v>
      </c>
      <c r="S256" s="198" t="s">
        <v>2300</v>
      </c>
      <c r="T256" s="203"/>
      <c r="U256" s="200"/>
      <c r="V256" s="200"/>
      <c r="W256" s="226" t="s">
        <v>3728</v>
      </c>
      <c r="X256" s="226"/>
      <c r="Y256" s="226" t="s">
        <v>3729</v>
      </c>
      <c r="Z256" s="202" t="str">
        <f t="shared" si="0"/>
        <v>RLOM SanitaryTerminals</v>
      </c>
      <c r="AA256" s="172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</row>
    <row r="257" spans="1:40" ht="64.5" customHeight="1">
      <c r="A257" s="190">
        <v>3</v>
      </c>
      <c r="B257" s="190" t="s">
        <v>538</v>
      </c>
      <c r="C257" s="190">
        <v>31</v>
      </c>
      <c r="D257" s="191" t="s">
        <v>1151</v>
      </c>
      <c r="E257" s="192">
        <v>315</v>
      </c>
      <c r="F257" s="192" t="s">
        <v>1642</v>
      </c>
      <c r="G257" s="191"/>
      <c r="H257" s="222" t="str">
        <f>HYPERLINK("http://bsdd.buildingsmart.org/#concept/details/1gJjSu48D4DQQ1zG5xqX0K","1gJjSu48D4DQQ1zG5xqX0K")</f>
        <v>1gJjSu48D4DQQ1zG5xqX0K</v>
      </c>
      <c r="I257" s="123" t="s">
        <v>2304</v>
      </c>
      <c r="J257" s="195" t="s">
        <v>3894</v>
      </c>
      <c r="K257" s="191"/>
      <c r="L257" s="250" t="str">
        <f t="shared" ca="1" si="13"/>
        <v>cistern</v>
      </c>
      <c r="M257" s="210"/>
      <c r="N257" s="198" t="s">
        <v>1678</v>
      </c>
      <c r="O257" s="198" t="s">
        <v>1679</v>
      </c>
      <c r="P257" s="198"/>
      <c r="Q257" s="196" t="s">
        <v>1680</v>
      </c>
      <c r="R257" s="198" t="s">
        <v>1681</v>
      </c>
      <c r="S257" s="198" t="s">
        <v>1682</v>
      </c>
      <c r="T257" s="203" t="s">
        <v>1701</v>
      </c>
      <c r="U257" s="200"/>
      <c r="V257" s="200"/>
      <c r="W257" s="226" t="s">
        <v>3728</v>
      </c>
      <c r="X257" s="226"/>
      <c r="Y257" s="226" t="s">
        <v>3729</v>
      </c>
      <c r="Z257" s="202" t="str">
        <f t="shared" si="0"/>
        <v>RLOM SanitaryTerminals</v>
      </c>
      <c r="AA257" s="172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</row>
    <row r="258" spans="1:40" ht="64.5" customHeight="1">
      <c r="A258" s="190">
        <v>3</v>
      </c>
      <c r="B258" s="190" t="s">
        <v>538</v>
      </c>
      <c r="C258" s="190">
        <v>31</v>
      </c>
      <c r="D258" s="191" t="s">
        <v>1151</v>
      </c>
      <c r="E258" s="192">
        <v>315</v>
      </c>
      <c r="F258" s="192" t="s">
        <v>1642</v>
      </c>
      <c r="G258" s="191"/>
      <c r="H258" s="222" t="str">
        <f>HYPERLINK("http://bsdd.buildingsmart.org/#concept/details/2wp1FvC512sR4nwYKbWN1O","2wp1FvC512sR4nwYKbWN1O")</f>
        <v>2wp1FvC512sR4nwYKbWN1O</v>
      </c>
      <c r="I258" s="123" t="s">
        <v>2305</v>
      </c>
      <c r="J258" s="195" t="s">
        <v>3895</v>
      </c>
      <c r="K258" s="191" t="s">
        <v>2306</v>
      </c>
      <c r="L258" s="250" t="str">
        <f t="shared" ca="1" si="13"/>
        <v>cistern</v>
      </c>
      <c r="M258" s="210"/>
      <c r="N258" s="198" t="s">
        <v>1957</v>
      </c>
      <c r="O258" s="198" t="s">
        <v>1958</v>
      </c>
      <c r="P258" s="198" t="s">
        <v>1974</v>
      </c>
      <c r="Q258" s="196" t="s">
        <v>1680</v>
      </c>
      <c r="R258" s="198" t="s">
        <v>1681</v>
      </c>
      <c r="S258" s="198" t="s">
        <v>1975</v>
      </c>
      <c r="T258" s="203" t="s">
        <v>2308</v>
      </c>
      <c r="U258" s="200"/>
      <c r="V258" s="200"/>
      <c r="W258" s="226" t="s">
        <v>3728</v>
      </c>
      <c r="X258" s="226"/>
      <c r="Y258" s="226" t="s">
        <v>3729</v>
      </c>
      <c r="Z258" s="202" t="str">
        <f t="shared" si="0"/>
        <v>RLOM SanitaryTerminals</v>
      </c>
      <c r="AA258" s="172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</row>
    <row r="259" spans="1:40" ht="64.5" customHeight="1">
      <c r="A259" s="190">
        <v>3</v>
      </c>
      <c r="B259" s="190" t="s">
        <v>538</v>
      </c>
      <c r="C259" s="190">
        <v>31</v>
      </c>
      <c r="D259" s="191" t="s">
        <v>1151</v>
      </c>
      <c r="E259" s="192">
        <v>315</v>
      </c>
      <c r="F259" s="192" t="s">
        <v>1642</v>
      </c>
      <c r="G259" s="191"/>
      <c r="H259" s="222" t="str">
        <f>HYPERLINK("http://bsdd.buildingsmart.org/#concept/details/0$Trp7rBD3_9Q59tP7sonu","0$Trp7rBD3_9Q59tP7sonu")</f>
        <v>0$Trp7rBD3_9Q59tP7sonu</v>
      </c>
      <c r="I259" s="123" t="s">
        <v>2310</v>
      </c>
      <c r="J259" s="195" t="s">
        <v>3896</v>
      </c>
      <c r="K259" s="191"/>
      <c r="L259" s="250" t="str">
        <f t="shared" ca="1" si="13"/>
        <v>cistern</v>
      </c>
      <c r="M259" s="210"/>
      <c r="N259" s="198" t="s">
        <v>1707</v>
      </c>
      <c r="O259" s="198" t="s">
        <v>1708</v>
      </c>
      <c r="P259" s="198" t="s">
        <v>2067</v>
      </c>
      <c r="Q259" s="196" t="s">
        <v>1680</v>
      </c>
      <c r="R259" s="198" t="s">
        <v>1681</v>
      </c>
      <c r="S259" s="198" t="s">
        <v>2073</v>
      </c>
      <c r="T259" s="203" t="s">
        <v>2311</v>
      </c>
      <c r="U259" s="200"/>
      <c r="V259" s="200"/>
      <c r="W259" s="226" t="s">
        <v>3728</v>
      </c>
      <c r="X259" s="226"/>
      <c r="Y259" s="226" t="s">
        <v>3729</v>
      </c>
      <c r="Z259" s="202" t="str">
        <f t="shared" si="0"/>
        <v>RLOM SanitaryTerminals</v>
      </c>
      <c r="AA259" s="172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</row>
    <row r="260" spans="1:40" ht="78" customHeight="1">
      <c r="A260" s="190">
        <v>3</v>
      </c>
      <c r="B260" s="190" t="s">
        <v>538</v>
      </c>
      <c r="C260" s="190">
        <v>31</v>
      </c>
      <c r="D260" s="191" t="s">
        <v>1151</v>
      </c>
      <c r="E260" s="192">
        <v>315</v>
      </c>
      <c r="F260" s="192" t="s">
        <v>1642</v>
      </c>
      <c r="G260" s="191"/>
      <c r="H260" s="222" t="str">
        <f>HYPERLINK("http://bsdd.buildingsmart.org/#concept/details/3vHKN_oT0Hsm00051Mm008","3vHKN_oT0Hsm00051Mm008")</f>
        <v>3vHKN_oT0Hsm00051Mm008</v>
      </c>
      <c r="I260" s="123" t="s">
        <v>2315</v>
      </c>
      <c r="J260" s="195" t="s">
        <v>3897</v>
      </c>
      <c r="K260" s="191" t="s">
        <v>1981</v>
      </c>
      <c r="L260" s="250" t="s">
        <v>1211</v>
      </c>
      <c r="M260" s="210"/>
      <c r="N260" s="198" t="s">
        <v>1645</v>
      </c>
      <c r="O260" s="198" t="s">
        <v>1646</v>
      </c>
      <c r="P260" s="198" t="s">
        <v>1985</v>
      </c>
      <c r="Q260" s="198" t="s">
        <v>1649</v>
      </c>
      <c r="R260" s="198" t="s">
        <v>1650</v>
      </c>
      <c r="S260" s="198" t="s">
        <v>5231</v>
      </c>
      <c r="T260" s="203"/>
      <c r="U260" s="200"/>
      <c r="V260" s="200"/>
      <c r="W260" s="226" t="s">
        <v>3684</v>
      </c>
      <c r="X260" s="226"/>
      <c r="Y260" s="226" t="s">
        <v>3697</v>
      </c>
      <c r="Z260" s="202" t="str">
        <f t="shared" si="0"/>
        <v>RLOM WasteTerminals</v>
      </c>
      <c r="AA260" s="172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</row>
    <row r="261" spans="1:40" ht="78" customHeight="1">
      <c r="A261" s="190">
        <v>3</v>
      </c>
      <c r="B261" s="190" t="s">
        <v>538</v>
      </c>
      <c r="C261" s="190">
        <v>31</v>
      </c>
      <c r="D261" s="191" t="s">
        <v>1151</v>
      </c>
      <c r="E261" s="192">
        <v>315</v>
      </c>
      <c r="F261" s="192" t="s">
        <v>1642</v>
      </c>
      <c r="G261" s="191"/>
      <c r="H261" s="222" t="str">
        <f>HYPERLINK("http://bsdd.buildingsmart.org/#concept/details/2aLPe$yNb8gxQpl1QGcgOO","2aLPe$yNb8gxQpl1QGcgOO")</f>
        <v>2aLPe$yNb8gxQpl1QGcgOO</v>
      </c>
      <c r="I261" s="123" t="s">
        <v>2316</v>
      </c>
      <c r="J261" s="195" t="s">
        <v>3898</v>
      </c>
      <c r="K261" s="191" t="s">
        <v>1981</v>
      </c>
      <c r="L261" s="250" t="s">
        <v>1211</v>
      </c>
      <c r="M261" s="210"/>
      <c r="N261" s="198" t="s">
        <v>1645</v>
      </c>
      <c r="O261" s="198" t="s">
        <v>1646</v>
      </c>
      <c r="P261" s="198" t="s">
        <v>1985</v>
      </c>
      <c r="Q261" s="198" t="s">
        <v>1649</v>
      </c>
      <c r="R261" s="198" t="s">
        <v>1650</v>
      </c>
      <c r="S261" s="198" t="s">
        <v>5231</v>
      </c>
      <c r="T261" s="203"/>
      <c r="U261" s="200"/>
      <c r="V261" s="200"/>
      <c r="W261" s="226" t="s">
        <v>3684</v>
      </c>
      <c r="X261" s="226"/>
      <c r="Y261" s="226" t="s">
        <v>3697</v>
      </c>
      <c r="Z261" s="202" t="str">
        <f t="shared" si="0"/>
        <v>RLOM WasteTerminals</v>
      </c>
      <c r="AA261" s="172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</row>
    <row r="262" spans="1:40" ht="78" customHeight="1">
      <c r="A262" s="190">
        <v>3</v>
      </c>
      <c r="B262" s="190" t="s">
        <v>538</v>
      </c>
      <c r="C262" s="190">
        <v>31</v>
      </c>
      <c r="D262" s="191" t="s">
        <v>1151</v>
      </c>
      <c r="E262" s="192">
        <v>315</v>
      </c>
      <c r="F262" s="192" t="s">
        <v>1642</v>
      </c>
      <c r="G262" s="191"/>
      <c r="H262" s="222" t="str">
        <f>HYPERLINK("http://bsdd.buildingsmart.org/#concept/details/16FUvDcKr5TQWymvZjbj9z","16FUvDcKr5TQWymvZjbj9z")</f>
        <v>16FUvDcKr5TQWymvZjbj9z</v>
      </c>
      <c r="I262" s="123" t="s">
        <v>2320</v>
      </c>
      <c r="J262" s="195" t="s">
        <v>3899</v>
      </c>
      <c r="K262" s="191" t="s">
        <v>1981</v>
      </c>
      <c r="L262" s="250" t="s">
        <v>1211</v>
      </c>
      <c r="M262" s="210"/>
      <c r="N262" s="198" t="s">
        <v>1645</v>
      </c>
      <c r="O262" s="198" t="s">
        <v>1646</v>
      </c>
      <c r="P262" s="198" t="s">
        <v>1985</v>
      </c>
      <c r="Q262" s="198" t="s">
        <v>1649</v>
      </c>
      <c r="R262" s="198" t="s">
        <v>1650</v>
      </c>
      <c r="S262" s="198" t="s">
        <v>5231</v>
      </c>
      <c r="T262" s="203"/>
      <c r="U262" s="200"/>
      <c r="V262" s="200"/>
      <c r="W262" s="226" t="s">
        <v>3684</v>
      </c>
      <c r="X262" s="226"/>
      <c r="Y262" s="226" t="s">
        <v>3697</v>
      </c>
      <c r="Z262" s="202" t="str">
        <f t="shared" si="0"/>
        <v>RLOM WasteTerminals</v>
      </c>
      <c r="AA262" s="172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</row>
    <row r="263" spans="1:40" ht="78" customHeight="1">
      <c r="A263" s="190">
        <v>3</v>
      </c>
      <c r="B263" s="190" t="s">
        <v>538</v>
      </c>
      <c r="C263" s="190">
        <v>31</v>
      </c>
      <c r="D263" s="191" t="s">
        <v>1151</v>
      </c>
      <c r="E263" s="192">
        <v>315</v>
      </c>
      <c r="F263" s="192" t="s">
        <v>1642</v>
      </c>
      <c r="G263" s="191"/>
      <c r="H263" s="222" t="str">
        <f>HYPERLINK("http://bsdd.buildingsmart.org/#concept/details/0ql_i0YAf06wrF4ai7ewPt","0ql_i0YAf06wrF4ai7ewPt")</f>
        <v>0ql_i0YAf06wrF4ai7ewPt</v>
      </c>
      <c r="I263" s="123" t="s">
        <v>2323</v>
      </c>
      <c r="J263" s="195" t="s">
        <v>3900</v>
      </c>
      <c r="K263" s="191"/>
      <c r="L263" s="250" t="s">
        <v>1211</v>
      </c>
      <c r="M263" s="210"/>
      <c r="N263" s="198" t="s">
        <v>1645</v>
      </c>
      <c r="O263" s="198" t="s">
        <v>1646</v>
      </c>
      <c r="P263" s="198" t="s">
        <v>2106</v>
      </c>
      <c r="Q263" s="198" t="s">
        <v>1649</v>
      </c>
      <c r="R263" s="198" t="s">
        <v>1650</v>
      </c>
      <c r="S263" s="198" t="s">
        <v>5231</v>
      </c>
      <c r="T263" s="203"/>
      <c r="U263" s="200"/>
      <c r="V263" s="200"/>
      <c r="W263" s="226" t="s">
        <v>3684</v>
      </c>
      <c r="X263" s="226"/>
      <c r="Y263" s="226" t="s">
        <v>3697</v>
      </c>
      <c r="Z263" s="202" t="str">
        <f t="shared" si="0"/>
        <v>RLOM WasteTerminals</v>
      </c>
      <c r="AA263" s="172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</row>
    <row r="264" spans="1:40" ht="64.5" customHeight="1">
      <c r="A264" s="190">
        <v>3</v>
      </c>
      <c r="B264" s="190" t="s">
        <v>538</v>
      </c>
      <c r="C264" s="190">
        <v>31</v>
      </c>
      <c r="D264" s="191" t="s">
        <v>1151</v>
      </c>
      <c r="E264" s="192">
        <v>315</v>
      </c>
      <c r="F264" s="192" t="s">
        <v>1642</v>
      </c>
      <c r="G264" s="191"/>
      <c r="H264" s="222" t="str">
        <f>HYPERLINK("http://bsdd.buildingsmart.org/#concept/details/0yuCTRH7jAN9oZ7gSHW$Kw","0yuCTRH7jAN9oZ7gSHW$Kw")</f>
        <v>0yuCTRH7jAN9oZ7gSHW$Kw</v>
      </c>
      <c r="I264" s="123" t="s">
        <v>4944</v>
      </c>
      <c r="J264" s="195" t="s">
        <v>3901</v>
      </c>
      <c r="K264" s="191" t="s">
        <v>2326</v>
      </c>
      <c r="L264" s="250" t="s">
        <v>3902</v>
      </c>
      <c r="M264" s="210"/>
      <c r="N264" s="198" t="s">
        <v>1957</v>
      </c>
      <c r="O264" s="198" t="s">
        <v>1958</v>
      </c>
      <c r="P264" s="198" t="s">
        <v>1974</v>
      </c>
      <c r="Q264" s="196" t="s">
        <v>1680</v>
      </c>
      <c r="R264" s="198" t="s">
        <v>1681</v>
      </c>
      <c r="S264" s="198" t="s">
        <v>1975</v>
      </c>
      <c r="T264" s="203" t="s">
        <v>2328</v>
      </c>
      <c r="U264" s="200"/>
      <c r="V264" s="200"/>
      <c r="W264" s="226" t="s">
        <v>3728</v>
      </c>
      <c r="X264" s="226"/>
      <c r="Y264" s="226" t="s">
        <v>3729</v>
      </c>
      <c r="Z264" s="202" t="str">
        <f t="shared" si="0"/>
        <v>RLOM SanitaryTerminals</v>
      </c>
      <c r="AA264" s="172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</row>
    <row r="265" spans="1:40" ht="78" customHeight="1">
      <c r="A265" s="190">
        <v>3</v>
      </c>
      <c r="B265" s="190" t="s">
        <v>538</v>
      </c>
      <c r="C265" s="190">
        <v>31</v>
      </c>
      <c r="D265" s="191" t="s">
        <v>1151</v>
      </c>
      <c r="E265" s="192">
        <v>315</v>
      </c>
      <c r="F265" s="192" t="s">
        <v>1642</v>
      </c>
      <c r="G265" s="191"/>
      <c r="H265" s="222" t="str">
        <f>HYPERLINK("http://bsdd.buildingsmart.org/#concept/details/3vHTfGoT0Hsm00051Mm008","3vHTfGoT0Hsm00051Mm008")</f>
        <v>3vHTfGoT0Hsm00051Mm008</v>
      </c>
      <c r="I265" s="123" t="s">
        <v>2331</v>
      </c>
      <c r="J265" s="195" t="s">
        <v>3903</v>
      </c>
      <c r="K265" s="191"/>
      <c r="L265" s="250" t="str">
        <f t="shared" ref="L265:L267" ca="1" si="14">IFERROR(__xludf.DUMMYFUNCTION(GOOGLETRANSLATE(J265,"no","en")),"stormwater")</f>
        <v>stormwater</v>
      </c>
      <c r="M265" s="210"/>
      <c r="N265" s="198" t="s">
        <v>1645</v>
      </c>
      <c r="O265" s="198" t="s">
        <v>1646</v>
      </c>
      <c r="P265" s="198" t="s">
        <v>2106</v>
      </c>
      <c r="Q265" s="198" t="s">
        <v>1649</v>
      </c>
      <c r="R265" s="198" t="s">
        <v>1650</v>
      </c>
      <c r="S265" s="198" t="s">
        <v>2332</v>
      </c>
      <c r="T265" s="203"/>
      <c r="U265" s="200"/>
      <c r="V265" s="200"/>
      <c r="W265" s="226" t="s">
        <v>3684</v>
      </c>
      <c r="X265" s="226"/>
      <c r="Y265" s="226" t="s">
        <v>3697</v>
      </c>
      <c r="Z265" s="202" t="str">
        <f t="shared" si="0"/>
        <v>RLOM WasteTerminals</v>
      </c>
      <c r="AA265" s="172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</row>
    <row r="266" spans="1:40" ht="64.5" customHeight="1">
      <c r="A266" s="190">
        <v>3</v>
      </c>
      <c r="B266" s="190" t="s">
        <v>538</v>
      </c>
      <c r="C266" s="190">
        <v>31</v>
      </c>
      <c r="D266" s="191" t="s">
        <v>1151</v>
      </c>
      <c r="E266" s="192">
        <v>315</v>
      </c>
      <c r="F266" s="192" t="s">
        <v>1642</v>
      </c>
      <c r="G266" s="191"/>
      <c r="H266" s="222" t="str">
        <f>HYPERLINK("http://bsdd.buildingsmart.org/#concept/details/2LPlkjHD14iwkxaRI03uio","2LPlkjHD14iwkxaRI03uio")</f>
        <v>2LPlkjHD14iwkxaRI03uio</v>
      </c>
      <c r="I266" s="123" t="s">
        <v>2333</v>
      </c>
      <c r="J266" s="195" t="s">
        <v>3904</v>
      </c>
      <c r="K266" s="191"/>
      <c r="L266" s="250" t="str">
        <f t="shared" ca="1" si="14"/>
        <v>stormwater</v>
      </c>
      <c r="M266" s="210"/>
      <c r="N266" s="198" t="s">
        <v>1678</v>
      </c>
      <c r="O266" s="198" t="s">
        <v>1679</v>
      </c>
      <c r="P266" s="198"/>
      <c r="Q266" s="196" t="s">
        <v>1680</v>
      </c>
      <c r="R266" s="198" t="s">
        <v>1681</v>
      </c>
      <c r="S266" s="198" t="s">
        <v>1682</v>
      </c>
      <c r="T266" s="203" t="s">
        <v>2334</v>
      </c>
      <c r="U266" s="200"/>
      <c r="V266" s="200"/>
      <c r="W266" s="226" t="s">
        <v>3728</v>
      </c>
      <c r="X266" s="226"/>
      <c r="Y266" s="226" t="s">
        <v>3729</v>
      </c>
      <c r="Z266" s="202" t="str">
        <f t="shared" si="0"/>
        <v>RLOM SanitaryTerminals</v>
      </c>
      <c r="AA266" s="172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</row>
    <row r="267" spans="1:40" ht="64.5" customHeight="1">
      <c r="A267" s="190">
        <v>3</v>
      </c>
      <c r="B267" s="190" t="s">
        <v>538</v>
      </c>
      <c r="C267" s="190">
        <v>31</v>
      </c>
      <c r="D267" s="191" t="s">
        <v>1151</v>
      </c>
      <c r="E267" s="192">
        <v>315</v>
      </c>
      <c r="F267" s="192" t="s">
        <v>1642</v>
      </c>
      <c r="G267" s="191"/>
      <c r="H267" s="222" t="str">
        <f>HYPERLINK("http://bsdd.buildingsmart.org/#concept/details/3Yu8XBj1nFTuTiOHINx9Bp","3Yu8XBj1nFTuTiOHINx9Bp")</f>
        <v>3Yu8XBj1nFTuTiOHINx9Bp</v>
      </c>
      <c r="I267" s="123" t="s">
        <v>4945</v>
      </c>
      <c r="J267" s="195" t="s">
        <v>3905</v>
      </c>
      <c r="K267" s="191"/>
      <c r="L267" s="250" t="str">
        <f t="shared" ca="1" si="14"/>
        <v>stormwater</v>
      </c>
      <c r="M267" s="210"/>
      <c r="N267" s="198" t="s">
        <v>1707</v>
      </c>
      <c r="O267" s="198" t="s">
        <v>1708</v>
      </c>
      <c r="P267" s="198" t="s">
        <v>2067</v>
      </c>
      <c r="Q267" s="196" t="s">
        <v>1680</v>
      </c>
      <c r="R267" s="198" t="s">
        <v>1681</v>
      </c>
      <c r="S267" s="198" t="s">
        <v>2073</v>
      </c>
      <c r="T267" s="203" t="s">
        <v>3906</v>
      </c>
      <c r="U267" s="200"/>
      <c r="V267" s="200"/>
      <c r="W267" s="226" t="s">
        <v>3728</v>
      </c>
      <c r="X267" s="226"/>
      <c r="Y267" s="226" t="s">
        <v>3729</v>
      </c>
      <c r="Z267" s="202" t="str">
        <f t="shared" si="0"/>
        <v>RLOM SanitaryTerminals</v>
      </c>
      <c r="AA267" s="172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</row>
    <row r="268" spans="1:40" ht="64.5" customHeight="1">
      <c r="A268" s="190">
        <v>3</v>
      </c>
      <c r="B268" s="190" t="s">
        <v>538</v>
      </c>
      <c r="C268" s="190">
        <v>31</v>
      </c>
      <c r="D268" s="191" t="s">
        <v>1151</v>
      </c>
      <c r="E268" s="192">
        <v>315</v>
      </c>
      <c r="F268" s="192" t="s">
        <v>1642</v>
      </c>
      <c r="G268" s="191"/>
      <c r="H268" s="222" t="str">
        <f>HYPERLINK("http://bsdd.buildingsmart.org/#concept/details/1wnY7wLCjBRODT_uRYPFIO","1wnY7wLCjBRODT_uRYPFIO")</f>
        <v>1wnY7wLCjBRODT_uRYPFIO</v>
      </c>
      <c r="I268" s="123" t="s">
        <v>2357</v>
      </c>
      <c r="J268" s="195" t="s">
        <v>3907</v>
      </c>
      <c r="K268" s="191" t="s">
        <v>2363</v>
      </c>
      <c r="L268" s="250" t="s">
        <v>3908</v>
      </c>
      <c r="M268" s="210"/>
      <c r="N268" s="198" t="s">
        <v>1707</v>
      </c>
      <c r="O268" s="198" t="s">
        <v>1708</v>
      </c>
      <c r="P268" s="198" t="s">
        <v>2067</v>
      </c>
      <c r="Q268" s="196" t="s">
        <v>1680</v>
      </c>
      <c r="R268" s="198" t="s">
        <v>1681</v>
      </c>
      <c r="S268" s="198" t="s">
        <v>2073</v>
      </c>
      <c r="T268" s="203" t="s">
        <v>2364</v>
      </c>
      <c r="U268" s="200"/>
      <c r="V268" s="200"/>
      <c r="W268" s="226" t="s">
        <v>3728</v>
      </c>
      <c r="X268" s="226"/>
      <c r="Y268" s="226" t="s">
        <v>3729</v>
      </c>
      <c r="Z268" s="202" t="str">
        <f t="shared" si="0"/>
        <v>RLOM SanitaryTerminals</v>
      </c>
      <c r="AA268" s="172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</row>
    <row r="269" spans="1:40" ht="64.5" customHeight="1">
      <c r="A269" s="190">
        <v>3</v>
      </c>
      <c r="B269" s="190" t="s">
        <v>538</v>
      </c>
      <c r="C269" s="190">
        <v>31</v>
      </c>
      <c r="D269" s="191" t="s">
        <v>1151</v>
      </c>
      <c r="E269" s="192">
        <v>315</v>
      </c>
      <c r="F269" s="192" t="s">
        <v>1642</v>
      </c>
      <c r="G269" s="191"/>
      <c r="H269" s="222" t="str">
        <f>HYPERLINK("http://bsdd.buildingsmart.org/#concept/details/2LCORyGzXAxh4P6XtFd00r","2LCORyGzXAxh4P6XtFd00r")</f>
        <v>2LCORyGzXAxh4P6XtFd00r</v>
      </c>
      <c r="I269" s="123" t="s">
        <v>2357</v>
      </c>
      <c r="J269" s="195" t="s">
        <v>3909</v>
      </c>
      <c r="K269" s="191" t="s">
        <v>2373</v>
      </c>
      <c r="L269" s="250" t="s">
        <v>3910</v>
      </c>
      <c r="M269" s="210"/>
      <c r="N269" s="198" t="s">
        <v>1707</v>
      </c>
      <c r="O269" s="198" t="s">
        <v>1708</v>
      </c>
      <c r="P269" s="198" t="s">
        <v>2067</v>
      </c>
      <c r="Q269" s="196" t="s">
        <v>1680</v>
      </c>
      <c r="R269" s="198" t="s">
        <v>1681</v>
      </c>
      <c r="S269" s="198" t="s">
        <v>2073</v>
      </c>
      <c r="T269" s="203" t="s">
        <v>3911</v>
      </c>
      <c r="U269" s="200"/>
      <c r="V269" s="200"/>
      <c r="W269" s="226" t="s">
        <v>3728</v>
      </c>
      <c r="X269" s="226"/>
      <c r="Y269" s="226" t="s">
        <v>3729</v>
      </c>
      <c r="Z269" s="202" t="str">
        <f t="shared" si="0"/>
        <v>RLOM SanitaryTerminals</v>
      </c>
      <c r="AA269" s="172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</row>
    <row r="270" spans="1:40" ht="64.5" customHeight="1">
      <c r="A270" s="190">
        <v>3</v>
      </c>
      <c r="B270" s="190" t="s">
        <v>538</v>
      </c>
      <c r="C270" s="190">
        <v>31</v>
      </c>
      <c r="D270" s="191" t="s">
        <v>1151</v>
      </c>
      <c r="E270" s="192">
        <v>315</v>
      </c>
      <c r="F270" s="192" t="s">
        <v>1642</v>
      </c>
      <c r="G270" s="191"/>
      <c r="H270" s="222" t="str">
        <f>HYPERLINK("http://bsdd.buildingsmart.org/#concept/details/0RP5VR2SPFKBriGCkOn9CP","0RP5VR2SPFKBriGCkOn9CP")</f>
        <v>0RP5VR2SPFKBriGCkOn9CP</v>
      </c>
      <c r="I270" s="123" t="s">
        <v>4946</v>
      </c>
      <c r="J270" s="195" t="s">
        <v>3912</v>
      </c>
      <c r="K270" s="191" t="s">
        <v>2393</v>
      </c>
      <c r="L270" s="250" t="s">
        <v>3913</v>
      </c>
      <c r="M270" s="210"/>
      <c r="N270" s="198" t="s">
        <v>1707</v>
      </c>
      <c r="O270" s="198" t="s">
        <v>1708</v>
      </c>
      <c r="P270" s="198" t="s">
        <v>2067</v>
      </c>
      <c r="Q270" s="196" t="s">
        <v>1680</v>
      </c>
      <c r="R270" s="198" t="s">
        <v>1681</v>
      </c>
      <c r="S270" s="198" t="s">
        <v>2073</v>
      </c>
      <c r="T270" s="203" t="s">
        <v>3914</v>
      </c>
      <c r="U270" s="200"/>
      <c r="V270" s="200"/>
      <c r="W270" s="226" t="s">
        <v>3728</v>
      </c>
      <c r="X270" s="226"/>
      <c r="Y270" s="226" t="s">
        <v>3729</v>
      </c>
      <c r="Z270" s="202" t="str">
        <f t="shared" si="0"/>
        <v>RLOM SanitaryTerminals</v>
      </c>
      <c r="AA270" s="172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</row>
    <row r="271" spans="1:40" ht="64.5" customHeight="1">
      <c r="A271" s="190">
        <v>3</v>
      </c>
      <c r="B271" s="190" t="s">
        <v>538</v>
      </c>
      <c r="C271" s="190">
        <v>31</v>
      </c>
      <c r="D271" s="191" t="s">
        <v>1151</v>
      </c>
      <c r="E271" s="192">
        <v>315</v>
      </c>
      <c r="F271" s="192" t="s">
        <v>1642</v>
      </c>
      <c r="G271" s="191"/>
      <c r="H271" s="222" t="str">
        <f>HYPERLINK("http://bsdd.buildingsmart.org/#concept/details/1JMnw8w$TEU8U0joy00rWu","1JMnw8w$TEU8U0joy00rWu")</f>
        <v>1JMnw8w$TEU8U0joy00rWu</v>
      </c>
      <c r="I271" s="123" t="s">
        <v>4947</v>
      </c>
      <c r="J271" s="195" t="s">
        <v>3915</v>
      </c>
      <c r="K271" s="191"/>
      <c r="L271" s="250" t="s">
        <v>3916</v>
      </c>
      <c r="M271" s="210"/>
      <c r="N271" s="198" t="s">
        <v>1707</v>
      </c>
      <c r="O271" s="198" t="s">
        <v>1708</v>
      </c>
      <c r="P271" s="198" t="s">
        <v>2067</v>
      </c>
      <c r="Q271" s="196" t="s">
        <v>1680</v>
      </c>
      <c r="R271" s="198" t="s">
        <v>1681</v>
      </c>
      <c r="S271" s="198" t="s">
        <v>2073</v>
      </c>
      <c r="T271" s="203" t="s">
        <v>2409</v>
      </c>
      <c r="U271" s="200"/>
      <c r="V271" s="200"/>
      <c r="W271" s="226" t="s">
        <v>3728</v>
      </c>
      <c r="X271" s="226"/>
      <c r="Y271" s="226" t="s">
        <v>3729</v>
      </c>
      <c r="Z271" s="202" t="str">
        <f t="shared" si="0"/>
        <v>RLOM SanitaryTerminals</v>
      </c>
      <c r="AA271" s="172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</row>
    <row r="272" spans="1:40" ht="64.5" customHeight="1">
      <c r="A272" s="190">
        <v>3</v>
      </c>
      <c r="B272" s="190" t="s">
        <v>538</v>
      </c>
      <c r="C272" s="190">
        <v>31</v>
      </c>
      <c r="D272" s="191" t="s">
        <v>1151</v>
      </c>
      <c r="E272" s="192">
        <v>315</v>
      </c>
      <c r="F272" s="192" t="s">
        <v>1642</v>
      </c>
      <c r="G272" s="191"/>
      <c r="H272" s="222" t="str">
        <f>HYPERLINK("http://bsdd.buildingsmart.org/#concept/details/3prQAAWJmHu000025QrE$V","3prQAAWJmHu000025QrE$V")</f>
        <v>3prQAAWJmHu000025QrE$V</v>
      </c>
      <c r="I272" s="123" t="s">
        <v>4948</v>
      </c>
      <c r="J272" s="195" t="s">
        <v>3145</v>
      </c>
      <c r="K272" s="191"/>
      <c r="L272" s="249" t="s">
        <v>3146</v>
      </c>
      <c r="M272" s="210"/>
      <c r="N272" s="198" t="s">
        <v>1707</v>
      </c>
      <c r="O272" s="198" t="s">
        <v>1708</v>
      </c>
      <c r="P272" s="198" t="s">
        <v>2067</v>
      </c>
      <c r="Q272" s="196" t="s">
        <v>1680</v>
      </c>
      <c r="R272" s="198" t="s">
        <v>1681</v>
      </c>
      <c r="S272" s="198" t="s">
        <v>1146</v>
      </c>
      <c r="T272" s="203"/>
      <c r="U272" s="200"/>
      <c r="V272" s="200"/>
      <c r="W272" s="226" t="s">
        <v>3728</v>
      </c>
      <c r="X272" s="226"/>
      <c r="Y272" s="226" t="s">
        <v>3729</v>
      </c>
      <c r="Z272" s="202" t="str">
        <f t="shared" si="0"/>
        <v>RLOM SanitaryTerminals</v>
      </c>
      <c r="AA272" s="172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</row>
    <row r="273" spans="1:40" ht="64.5" customHeight="1">
      <c r="A273" s="190">
        <v>3</v>
      </c>
      <c r="B273" s="190" t="s">
        <v>538</v>
      </c>
      <c r="C273" s="190">
        <v>31</v>
      </c>
      <c r="D273" s="191" t="s">
        <v>1151</v>
      </c>
      <c r="E273" s="192">
        <v>315</v>
      </c>
      <c r="F273" s="192" t="s">
        <v>1642</v>
      </c>
      <c r="G273" s="191"/>
      <c r="H273" s="222" t="str">
        <f>HYPERLINK("http://bsdd.buildingsmart.org/#concept/details/3YGkSte5rFeuE3JHSusQsY","3YGkSte5rFeuE3JHSusQsY")</f>
        <v>3YGkSte5rFeuE3JHSusQsY</v>
      </c>
      <c r="I273" s="123" t="s">
        <v>4949</v>
      </c>
      <c r="J273" s="195" t="s">
        <v>3917</v>
      </c>
      <c r="K273" s="191"/>
      <c r="L273" s="249" t="s">
        <v>3918</v>
      </c>
      <c r="M273" s="210"/>
      <c r="N273" s="198" t="s">
        <v>2412</v>
      </c>
      <c r="O273" s="198" t="s">
        <v>2413</v>
      </c>
      <c r="P273" s="198" t="s">
        <v>2414</v>
      </c>
      <c r="Q273" s="196" t="s">
        <v>1680</v>
      </c>
      <c r="R273" s="198" t="s">
        <v>1681</v>
      </c>
      <c r="S273" s="198" t="s">
        <v>2415</v>
      </c>
      <c r="T273" s="203"/>
      <c r="U273" s="200"/>
      <c r="V273" s="200"/>
      <c r="W273" s="226" t="s">
        <v>3728</v>
      </c>
      <c r="X273" s="226"/>
      <c r="Y273" s="226" t="s">
        <v>3729</v>
      </c>
      <c r="Z273" s="202" t="str">
        <f t="shared" si="0"/>
        <v>RLOM SanitaryTerminals</v>
      </c>
      <c r="AA273" s="172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</row>
    <row r="274" spans="1:40" ht="64.5" customHeight="1">
      <c r="A274" s="190">
        <v>3</v>
      </c>
      <c r="B274" s="190" t="s">
        <v>538</v>
      </c>
      <c r="C274" s="190">
        <v>31</v>
      </c>
      <c r="D274" s="191" t="s">
        <v>1151</v>
      </c>
      <c r="E274" s="192">
        <v>315</v>
      </c>
      <c r="F274" s="192" t="s">
        <v>1642</v>
      </c>
      <c r="G274" s="191"/>
      <c r="H274" s="222" t="str">
        <f>HYPERLINK("http://bsdd.buildingsmart.org/#concept/details/2NL2XimAH0XA95sYGZ2eV_","2NL2XimAH0XA95sYGZ2eV_")</f>
        <v>2NL2XimAH0XA95sYGZ2eV_</v>
      </c>
      <c r="I274" s="123" t="s">
        <v>2411</v>
      </c>
      <c r="J274" s="195" t="s">
        <v>3919</v>
      </c>
      <c r="K274" s="191"/>
      <c r="L274" s="250" t="str">
        <f t="shared" ref="L274:L279" ca="1" si="15">IFERROR(__xludf.DUMMYFUNCTION(GOOGLETRANSLATE(J274,"no","en")),"tunnel shower")</f>
        <v>tunnel shower</v>
      </c>
      <c r="M274" s="210"/>
      <c r="N274" s="198" t="s">
        <v>2418</v>
      </c>
      <c r="O274" s="198"/>
      <c r="P274" s="198"/>
      <c r="Q274" s="196" t="s">
        <v>1680</v>
      </c>
      <c r="R274" s="198" t="s">
        <v>1681</v>
      </c>
      <c r="S274" s="198" t="s">
        <v>1848</v>
      </c>
      <c r="T274" s="203" t="s">
        <v>2420</v>
      </c>
      <c r="U274" s="200"/>
      <c r="V274" s="200"/>
      <c r="W274" s="226" t="s">
        <v>3728</v>
      </c>
      <c r="X274" s="226" t="s">
        <v>3920</v>
      </c>
      <c r="Y274" s="226" t="s">
        <v>3729</v>
      </c>
      <c r="Z274" s="202" t="str">
        <f t="shared" si="0"/>
        <v>RLOM SanitaryTerminals</v>
      </c>
      <c r="AA274" s="172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</row>
    <row r="275" spans="1:40" ht="64.5" customHeight="1">
      <c r="A275" s="190">
        <v>3</v>
      </c>
      <c r="B275" s="190" t="s">
        <v>538</v>
      </c>
      <c r="C275" s="190">
        <v>31</v>
      </c>
      <c r="D275" s="191" t="s">
        <v>1151</v>
      </c>
      <c r="E275" s="192">
        <v>315</v>
      </c>
      <c r="F275" s="192" t="s">
        <v>1642</v>
      </c>
      <c r="G275" s="191"/>
      <c r="H275" s="222" t="str">
        <f>HYPERLINK("http://bsdd.buildingsmart.org/#concept/details/2h2$d6ELTFZxHtxz707BiY","2h2$d6ELTFZxHtxz707BiY")</f>
        <v>2h2$d6ELTFZxHtxz707BiY</v>
      </c>
      <c r="I275" s="123" t="s">
        <v>2416</v>
      </c>
      <c r="J275" s="195" t="s">
        <v>3921</v>
      </c>
      <c r="K275" s="191" t="s">
        <v>2422</v>
      </c>
      <c r="L275" s="250" t="str">
        <f t="shared" ca="1" si="15"/>
        <v>tunnel shower</v>
      </c>
      <c r="M275" s="210"/>
      <c r="N275" s="198" t="s">
        <v>1707</v>
      </c>
      <c r="O275" s="198" t="s">
        <v>1708</v>
      </c>
      <c r="P275" s="198" t="s">
        <v>2421</v>
      </c>
      <c r="Q275" s="196" t="s">
        <v>1680</v>
      </c>
      <c r="R275" s="198" t="s">
        <v>1681</v>
      </c>
      <c r="S275" s="198" t="s">
        <v>2200</v>
      </c>
      <c r="T275" s="203" t="s">
        <v>2433</v>
      </c>
      <c r="U275" s="200"/>
      <c r="V275" s="200"/>
      <c r="W275" s="226" t="s">
        <v>3728</v>
      </c>
      <c r="X275" s="226"/>
      <c r="Y275" s="226" t="s">
        <v>3729</v>
      </c>
      <c r="Z275" s="202" t="str">
        <f t="shared" si="0"/>
        <v>RLOM SanitaryTerminals</v>
      </c>
      <c r="AA275" s="172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</row>
    <row r="276" spans="1:40" ht="64.5" customHeight="1">
      <c r="A276" s="190">
        <v>3</v>
      </c>
      <c r="B276" s="190" t="s">
        <v>538</v>
      </c>
      <c r="C276" s="190">
        <v>31</v>
      </c>
      <c r="D276" s="191" t="s">
        <v>1151</v>
      </c>
      <c r="E276" s="192">
        <v>315</v>
      </c>
      <c r="F276" s="192" t="s">
        <v>1642</v>
      </c>
      <c r="G276" s="191"/>
      <c r="H276" s="222" t="str">
        <f>HYPERLINK("http://bsdd.buildingsmart.org/#concept/details/34y2wFSWfF9PbpM1nrlG_e","34y2wFSWfF9PbpM1nrlG_e")</f>
        <v>34y2wFSWfF9PbpM1nrlG_e</v>
      </c>
      <c r="I276" s="123" t="s">
        <v>2421</v>
      </c>
      <c r="J276" s="195" t="s">
        <v>3922</v>
      </c>
      <c r="K276" s="191" t="s">
        <v>2438</v>
      </c>
      <c r="L276" s="250" t="str">
        <f t="shared" ca="1" si="15"/>
        <v>tunnel shower</v>
      </c>
      <c r="M276" s="210"/>
      <c r="N276" s="198" t="s">
        <v>1707</v>
      </c>
      <c r="O276" s="198" t="s">
        <v>1708</v>
      </c>
      <c r="P276" s="198" t="s">
        <v>2421</v>
      </c>
      <c r="Q276" s="196" t="s">
        <v>1680</v>
      </c>
      <c r="R276" s="198" t="s">
        <v>1681</v>
      </c>
      <c r="S276" s="198" t="s">
        <v>2200</v>
      </c>
      <c r="T276" s="203" t="s">
        <v>2442</v>
      </c>
      <c r="U276" s="200"/>
      <c r="V276" s="200"/>
      <c r="W276" s="226" t="s">
        <v>3728</v>
      </c>
      <c r="X276" s="226"/>
      <c r="Y276" s="226" t="s">
        <v>3729</v>
      </c>
      <c r="Z276" s="202" t="str">
        <f t="shared" si="0"/>
        <v>RLOM SanitaryTerminals</v>
      </c>
      <c r="AA276" s="172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</row>
    <row r="277" spans="1:40" ht="64.5" customHeight="1">
      <c r="A277" s="190">
        <v>3</v>
      </c>
      <c r="B277" s="190" t="s">
        <v>538</v>
      </c>
      <c r="C277" s="190">
        <v>31</v>
      </c>
      <c r="D277" s="191" t="s">
        <v>1151</v>
      </c>
      <c r="E277" s="192">
        <v>315</v>
      </c>
      <c r="F277" s="192" t="s">
        <v>1642</v>
      </c>
      <c r="G277" s="191"/>
      <c r="H277" s="222" t="str">
        <f>HYPERLINK("http://bsdd.buildingsmart.org/#concept/details/0iy3rPZsPE2gXRqIGmhmYW","0iy3rPZsPE2gXRqIGmhmYW")</f>
        <v>0iy3rPZsPE2gXRqIGmhmYW</v>
      </c>
      <c r="I277" s="123" t="s">
        <v>4950</v>
      </c>
      <c r="J277" s="195" t="s">
        <v>3923</v>
      </c>
      <c r="K277" s="191" t="s">
        <v>2445</v>
      </c>
      <c r="L277" s="250" t="str">
        <f t="shared" ca="1" si="15"/>
        <v>tunnel shower</v>
      </c>
      <c r="M277" s="210"/>
      <c r="N277" s="198" t="s">
        <v>1707</v>
      </c>
      <c r="O277" s="198" t="s">
        <v>1708</v>
      </c>
      <c r="P277" s="198" t="s">
        <v>2421</v>
      </c>
      <c r="Q277" s="196" t="s">
        <v>1680</v>
      </c>
      <c r="R277" s="198" t="s">
        <v>1681</v>
      </c>
      <c r="S277" s="198" t="s">
        <v>2200</v>
      </c>
      <c r="T277" s="203" t="s">
        <v>2446</v>
      </c>
      <c r="U277" s="200"/>
      <c r="V277" s="200"/>
      <c r="W277" s="226" t="s">
        <v>3728</v>
      </c>
      <c r="X277" s="226"/>
      <c r="Y277" s="226" t="s">
        <v>3729</v>
      </c>
      <c r="Z277" s="202" t="str">
        <f t="shared" si="0"/>
        <v>RLOM SanitaryTerminals</v>
      </c>
      <c r="AA277" s="172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</row>
    <row r="278" spans="1:40" ht="64.5" customHeight="1">
      <c r="A278" s="190">
        <v>3</v>
      </c>
      <c r="B278" s="190" t="s">
        <v>538</v>
      </c>
      <c r="C278" s="190">
        <v>31</v>
      </c>
      <c r="D278" s="191" t="s">
        <v>1151</v>
      </c>
      <c r="E278" s="192">
        <v>315</v>
      </c>
      <c r="F278" s="192" t="s">
        <v>1642</v>
      </c>
      <c r="G278" s="191"/>
      <c r="H278" s="222" t="str">
        <f>HYPERLINK("http://bsdd.buildingsmart.org/#concept/details/3vHIfqoT0Hsm00051Mm008","3vHIfqoT0Hsm00051Mm008")</f>
        <v>3vHIfqoT0Hsm00051Mm008</v>
      </c>
      <c r="I278" s="123" t="s">
        <v>4951</v>
      </c>
      <c r="J278" s="195" t="s">
        <v>3924</v>
      </c>
      <c r="K278" s="191"/>
      <c r="L278" s="250" t="str">
        <f t="shared" ca="1" si="15"/>
        <v>tunnel shower</v>
      </c>
      <c r="M278" s="210"/>
      <c r="N278" s="198" t="s">
        <v>1707</v>
      </c>
      <c r="O278" s="198" t="s">
        <v>1708</v>
      </c>
      <c r="P278" s="198" t="s">
        <v>2421</v>
      </c>
      <c r="Q278" s="196" t="s">
        <v>1680</v>
      </c>
      <c r="R278" s="198" t="s">
        <v>1681</v>
      </c>
      <c r="S278" s="198" t="s">
        <v>2200</v>
      </c>
      <c r="T278" s="203" t="s">
        <v>2452</v>
      </c>
      <c r="U278" s="200"/>
      <c r="V278" s="200"/>
      <c r="W278" s="226" t="s">
        <v>3728</v>
      </c>
      <c r="X278" s="226"/>
      <c r="Y278" s="226" t="s">
        <v>3729</v>
      </c>
      <c r="Z278" s="202" t="str">
        <f t="shared" si="0"/>
        <v>RLOM SanitaryTerminals</v>
      </c>
      <c r="AA278" s="172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</row>
    <row r="279" spans="1:40" ht="64.5" customHeight="1">
      <c r="A279" s="190">
        <v>3</v>
      </c>
      <c r="B279" s="190" t="s">
        <v>538</v>
      </c>
      <c r="C279" s="190">
        <v>31</v>
      </c>
      <c r="D279" s="191" t="s">
        <v>1151</v>
      </c>
      <c r="E279" s="192">
        <v>315</v>
      </c>
      <c r="F279" s="192" t="s">
        <v>1642</v>
      </c>
      <c r="G279" s="191"/>
      <c r="H279" s="222" t="str">
        <f>HYPERLINK("http://bsdd.buildingsmart.org/#concept/details/10282xDLb3QQyjs4k8p0dz","10282xDLb3QQyjs4k8p0dz")</f>
        <v>10282xDLb3QQyjs4k8p0dz</v>
      </c>
      <c r="I279" s="123" t="s">
        <v>2449</v>
      </c>
      <c r="J279" s="195" t="s">
        <v>3925</v>
      </c>
      <c r="K279" s="191" t="s">
        <v>2456</v>
      </c>
      <c r="L279" s="250" t="str">
        <f t="shared" ca="1" si="15"/>
        <v>tunnel shower</v>
      </c>
      <c r="M279" s="210"/>
      <c r="N279" s="198" t="s">
        <v>1957</v>
      </c>
      <c r="O279" s="198" t="s">
        <v>1958</v>
      </c>
      <c r="P279" s="198" t="s">
        <v>2455</v>
      </c>
      <c r="Q279" s="196" t="s">
        <v>1680</v>
      </c>
      <c r="R279" s="198" t="s">
        <v>1681</v>
      </c>
      <c r="S279" s="198" t="s">
        <v>1975</v>
      </c>
      <c r="T279" s="203" t="s">
        <v>2458</v>
      </c>
      <c r="U279" s="200"/>
      <c r="V279" s="200"/>
      <c r="W279" s="226" t="s">
        <v>3728</v>
      </c>
      <c r="X279" s="226"/>
      <c r="Y279" s="226" t="s">
        <v>3729</v>
      </c>
      <c r="Z279" s="202" t="str">
        <f t="shared" si="0"/>
        <v>RLOM SanitaryTerminals</v>
      </c>
      <c r="AA279" s="172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</row>
    <row r="280" spans="1:40" ht="64.5" customHeight="1">
      <c r="A280" s="190">
        <v>3</v>
      </c>
      <c r="B280" s="190" t="s">
        <v>538</v>
      </c>
      <c r="C280" s="190">
        <v>31</v>
      </c>
      <c r="D280" s="191" t="s">
        <v>1151</v>
      </c>
      <c r="E280" s="192">
        <v>315</v>
      </c>
      <c r="F280" s="192" t="s">
        <v>1642</v>
      </c>
      <c r="G280" s="191"/>
      <c r="H280" s="222" t="str">
        <f>HYPERLINK("http://bsdd.buildingsmart.org/#concept/details/3EQbB_N8L3iOnr2rc7M5YJ","3EQbB_N8L3iOnr2rc7M5YJ")</f>
        <v>3EQbB_N8L3iOnr2rc7M5YJ</v>
      </c>
      <c r="I280" s="123" t="s">
        <v>2455</v>
      </c>
      <c r="J280" s="195" t="s">
        <v>3926</v>
      </c>
      <c r="K280" s="191" t="s">
        <v>2472</v>
      </c>
      <c r="L280" s="250" t="s">
        <v>3927</v>
      </c>
      <c r="M280" s="210"/>
      <c r="N280" s="198" t="s">
        <v>1957</v>
      </c>
      <c r="O280" s="198" t="s">
        <v>1958</v>
      </c>
      <c r="P280" s="198" t="s">
        <v>2455</v>
      </c>
      <c r="Q280" s="196" t="s">
        <v>1680</v>
      </c>
      <c r="R280" s="198" t="s">
        <v>1681</v>
      </c>
      <c r="S280" s="198" t="s">
        <v>1975</v>
      </c>
      <c r="T280" s="203" t="s">
        <v>2474</v>
      </c>
      <c r="U280" s="200"/>
      <c r="V280" s="200"/>
      <c r="W280" s="226" t="s">
        <v>3728</v>
      </c>
      <c r="X280" s="226"/>
      <c r="Y280" s="226" t="s">
        <v>3729</v>
      </c>
      <c r="Z280" s="202" t="str">
        <f t="shared" si="0"/>
        <v>RLOM SanitaryTerminals</v>
      </c>
      <c r="AA280" s="172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</row>
    <row r="281" spans="1:40" ht="64.5" customHeight="1">
      <c r="A281" s="190">
        <v>3</v>
      </c>
      <c r="B281" s="190" t="s">
        <v>538</v>
      </c>
      <c r="C281" s="190">
        <v>31</v>
      </c>
      <c r="D281" s="191" t="s">
        <v>1151</v>
      </c>
      <c r="E281" s="192">
        <v>315</v>
      </c>
      <c r="F281" s="192" t="s">
        <v>1642</v>
      </c>
      <c r="G281" s="191"/>
      <c r="H281" s="222" t="str">
        <f>HYPERLINK("http://bsdd.buildingsmart.org/#concept/details/1h3OLKBsT4lhf5oz4cZ4xq","1h3OLKBsT4lhf5oz4cZ4xq")</f>
        <v>1h3OLKBsT4lhf5oz4cZ4xq</v>
      </c>
      <c r="I281" s="123" t="s">
        <v>2471</v>
      </c>
      <c r="J281" s="195" t="s">
        <v>3928</v>
      </c>
      <c r="K281" s="191"/>
      <c r="L281" s="250" t="str">
        <f t="shared" ref="L281:L287" ca="1" si="16">IFERROR(__xludf.DUMMYFUNCTION(GOOGLETRANSLATE(J281,"no","en")),"vakumklosett")</f>
        <v>vakumklosett</v>
      </c>
      <c r="M281" s="210"/>
      <c r="N281" s="198" t="s">
        <v>1707</v>
      </c>
      <c r="O281" s="198" t="s">
        <v>1708</v>
      </c>
      <c r="P281" s="198" t="s">
        <v>2067</v>
      </c>
      <c r="Q281" s="196" t="s">
        <v>1680</v>
      </c>
      <c r="R281" s="198" t="s">
        <v>1681</v>
      </c>
      <c r="S281" s="198" t="s">
        <v>2073</v>
      </c>
      <c r="T281" s="203" t="s">
        <v>2483</v>
      </c>
      <c r="U281" s="200"/>
      <c r="V281" s="200"/>
      <c r="W281" s="226" t="s">
        <v>3728</v>
      </c>
      <c r="X281" s="226"/>
      <c r="Y281" s="226" t="s">
        <v>3729</v>
      </c>
      <c r="Z281" s="202" t="str">
        <f t="shared" si="0"/>
        <v>RLOM SanitaryTerminals</v>
      </c>
      <c r="AA281" s="172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</row>
    <row r="282" spans="1:40" ht="36" customHeight="1">
      <c r="A282" s="190">
        <v>3</v>
      </c>
      <c r="B282" s="190" t="s">
        <v>538</v>
      </c>
      <c r="C282" s="190">
        <v>31</v>
      </c>
      <c r="D282" s="191" t="s">
        <v>1151</v>
      </c>
      <c r="E282" s="192">
        <v>315</v>
      </c>
      <c r="F282" s="192" t="s">
        <v>1642</v>
      </c>
      <c r="G282" s="193" t="s">
        <v>1772</v>
      </c>
      <c r="H282" s="208" t="str">
        <f>HYPERLINK("http://bsdd.buildingsmart.org/#concept/details/1v4ZOaS1jFjxHuTrJyXd9c","1v4ZOaS1jFjxHuTrJyXd9c")</f>
        <v>1v4ZOaS1jFjxHuTrJyXd9c</v>
      </c>
      <c r="I282" s="123" t="s">
        <v>2475</v>
      </c>
      <c r="J282" s="209" t="s">
        <v>3929</v>
      </c>
      <c r="K282" s="206" t="s">
        <v>2489</v>
      </c>
      <c r="L282" s="250" t="str">
        <f t="shared" ca="1" si="16"/>
        <v>vakumklosett</v>
      </c>
      <c r="M282" s="198"/>
      <c r="N282" s="198" t="s">
        <v>2490</v>
      </c>
      <c r="O282" s="198" t="s">
        <v>2493</v>
      </c>
      <c r="P282" s="198" t="s">
        <v>2495</v>
      </c>
      <c r="Q282" s="198" t="s">
        <v>2497</v>
      </c>
      <c r="R282" s="198" t="s">
        <v>2499</v>
      </c>
      <c r="S282" s="198" t="s">
        <v>2500</v>
      </c>
      <c r="T282" s="203" t="s">
        <v>2501</v>
      </c>
      <c r="U282" s="198"/>
      <c r="V282" s="198"/>
      <c r="W282" s="198"/>
      <c r="X282" s="198"/>
      <c r="Y282" s="198"/>
      <c r="Z282" s="202" t="str">
        <f t="shared" si="0"/>
        <v>RLOM Filters</v>
      </c>
      <c r="AA282" s="172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</row>
    <row r="283" spans="1:40" ht="78" customHeight="1">
      <c r="A283" s="190">
        <v>3</v>
      </c>
      <c r="B283" s="190" t="s">
        <v>538</v>
      </c>
      <c r="C283" s="190">
        <v>31</v>
      </c>
      <c r="D283" s="191" t="s">
        <v>1151</v>
      </c>
      <c r="E283" s="192">
        <v>315</v>
      </c>
      <c r="F283" s="192" t="s">
        <v>1642</v>
      </c>
      <c r="G283" s="191"/>
      <c r="H283" s="222" t="str">
        <f>HYPERLINK("http://bsdd.buildingsmart.org/#concept/details/3vHMrUoT0Hsm00051Mm008","3vHMrUoT0Hsm00051Mm008")</f>
        <v>3vHMrUoT0Hsm00051Mm008</v>
      </c>
      <c r="I283" s="119" t="s">
        <v>2488</v>
      </c>
      <c r="J283" s="195" t="s">
        <v>3930</v>
      </c>
      <c r="K283" s="191" t="s">
        <v>1654</v>
      </c>
      <c r="L283" s="250" t="str">
        <f t="shared" ca="1" si="16"/>
        <v>vakumklosett</v>
      </c>
      <c r="M283" s="210"/>
      <c r="N283" s="198" t="s">
        <v>1645</v>
      </c>
      <c r="O283" s="198" t="s">
        <v>1646</v>
      </c>
      <c r="P283" s="198" t="s">
        <v>2512</v>
      </c>
      <c r="Q283" s="198" t="s">
        <v>1649</v>
      </c>
      <c r="R283" s="198" t="s">
        <v>1650</v>
      </c>
      <c r="S283" s="198" t="s">
        <v>1652</v>
      </c>
      <c r="T283" s="203"/>
      <c r="U283" s="200"/>
      <c r="V283" s="200"/>
      <c r="W283" s="226" t="s">
        <v>3684</v>
      </c>
      <c r="X283" s="226"/>
      <c r="Y283" s="226" t="s">
        <v>3697</v>
      </c>
      <c r="Z283" s="202" t="str">
        <f t="shared" si="0"/>
        <v>RLOM WasteTerminals</v>
      </c>
      <c r="AA283" s="172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</row>
    <row r="284" spans="1:40" ht="27" customHeight="1">
      <c r="A284" s="190">
        <v>3</v>
      </c>
      <c r="B284" s="190" t="s">
        <v>538</v>
      </c>
      <c r="C284" s="190">
        <v>31</v>
      </c>
      <c r="D284" s="191" t="s">
        <v>1151</v>
      </c>
      <c r="E284" s="192">
        <v>315</v>
      </c>
      <c r="F284" s="192" t="s">
        <v>1642</v>
      </c>
      <c r="G284" s="193" t="s">
        <v>1772</v>
      </c>
      <c r="H284" s="208" t="str">
        <f>HYPERLINK("http://bsdd.buildingsmart.org/#concept/details/0J1s8LnKnBJvNzNcr6UVsm","0J1s8LnKnBJvNzNcr6UVsm")</f>
        <v>0J1s8LnKnBJvNzNcr6UVsm</v>
      </c>
      <c r="I284" s="123" t="s">
        <v>2512</v>
      </c>
      <c r="J284" s="209" t="s">
        <v>3931</v>
      </c>
      <c r="K284" s="206" t="s">
        <v>2514</v>
      </c>
      <c r="L284" s="250" t="str">
        <f t="shared" ca="1" si="16"/>
        <v>vakumklosett</v>
      </c>
      <c r="M284" s="198"/>
      <c r="N284" s="227" t="s">
        <v>2515</v>
      </c>
      <c r="O284" s="227" t="s">
        <v>2513</v>
      </c>
      <c r="P284" s="227"/>
      <c r="Q284" s="198" t="s">
        <v>1877</v>
      </c>
      <c r="R284" s="198" t="s">
        <v>1878</v>
      </c>
      <c r="S284" s="198" t="s">
        <v>1879</v>
      </c>
      <c r="T284" s="203"/>
      <c r="U284" s="198"/>
      <c r="V284" s="198"/>
      <c r="W284" s="196"/>
      <c r="X284" s="196"/>
      <c r="Y284" s="196"/>
      <c r="Z284" s="202" t="str">
        <f t="shared" si="0"/>
        <v>RLOM Boilers</v>
      </c>
      <c r="AA284" s="172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</row>
    <row r="285" spans="1:40" ht="64.5" customHeight="1">
      <c r="A285" s="190">
        <v>3</v>
      </c>
      <c r="B285" s="190" t="s">
        <v>538</v>
      </c>
      <c r="C285" s="190">
        <v>31</v>
      </c>
      <c r="D285" s="191" t="s">
        <v>1151</v>
      </c>
      <c r="E285" s="192">
        <v>315</v>
      </c>
      <c r="F285" s="192" t="s">
        <v>1642</v>
      </c>
      <c r="G285" s="191"/>
      <c r="H285" s="222" t="str">
        <f>HYPERLINK("http://bsdd.buildingsmart.org/#concept/details/1UJqIjE71COAOQejtR987I","1UJqIjE71COAOQejtR987I")</f>
        <v>1UJqIjE71COAOQejtR987I</v>
      </c>
      <c r="I285" s="119" t="s">
        <v>2513</v>
      </c>
      <c r="J285" s="195" t="s">
        <v>3932</v>
      </c>
      <c r="K285" s="191" t="s">
        <v>2517</v>
      </c>
      <c r="L285" s="250" t="str">
        <f t="shared" ca="1" si="16"/>
        <v>vakumklosett</v>
      </c>
      <c r="M285" s="210"/>
      <c r="N285" s="198" t="s">
        <v>1957</v>
      </c>
      <c r="O285" s="198" t="s">
        <v>1958</v>
      </c>
      <c r="P285" s="198" t="s">
        <v>2455</v>
      </c>
      <c r="Q285" s="196" t="s">
        <v>1680</v>
      </c>
      <c r="R285" s="198" t="s">
        <v>1681</v>
      </c>
      <c r="S285" s="198" t="s">
        <v>1975</v>
      </c>
      <c r="T285" s="203" t="s">
        <v>2519</v>
      </c>
      <c r="U285" s="200"/>
      <c r="V285" s="200"/>
      <c r="W285" s="226" t="s">
        <v>3728</v>
      </c>
      <c r="X285" s="226"/>
      <c r="Y285" s="226" t="s">
        <v>3729</v>
      </c>
      <c r="Z285" s="202" t="str">
        <f t="shared" si="0"/>
        <v>RLOM SanitaryTerminals</v>
      </c>
      <c r="AA285" s="172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</row>
    <row r="286" spans="1:40" ht="27" customHeight="1">
      <c r="A286" s="190">
        <v>3</v>
      </c>
      <c r="B286" s="190" t="s">
        <v>538</v>
      </c>
      <c r="C286" s="190">
        <v>31</v>
      </c>
      <c r="D286" s="191" t="s">
        <v>1151</v>
      </c>
      <c r="E286" s="192">
        <v>315</v>
      </c>
      <c r="F286" s="192" t="s">
        <v>1642</v>
      </c>
      <c r="G286" s="193" t="s">
        <v>1772</v>
      </c>
      <c r="H286" s="208" t="str">
        <f>HYPERLINK("http://bsdd.buildingsmart.org/#concept/details/1jITCf0PjE0xG$ouFMfi80","1jITCf0PjE0xG$ouFMfi80")</f>
        <v>1jITCf0PjE0xG$ouFMfi80</v>
      </c>
      <c r="I286" s="123" t="s">
        <v>2516</v>
      </c>
      <c r="J286" s="209" t="s">
        <v>3933</v>
      </c>
      <c r="K286" s="191" t="s">
        <v>2521</v>
      </c>
      <c r="L286" s="250" t="str">
        <f t="shared" ca="1" si="16"/>
        <v>vakumklosett</v>
      </c>
      <c r="M286" s="198"/>
      <c r="N286" s="198" t="s">
        <v>1777</v>
      </c>
      <c r="O286" s="227" t="s">
        <v>2284</v>
      </c>
      <c r="P286" s="198" t="s">
        <v>2525</v>
      </c>
      <c r="Q286" s="198" t="s">
        <v>1779</v>
      </c>
      <c r="R286" s="198"/>
      <c r="S286" s="198"/>
      <c r="T286" s="203"/>
      <c r="U286" s="198"/>
      <c r="V286" s="198"/>
      <c r="W286" s="198"/>
      <c r="X286" s="198"/>
      <c r="Y286" s="198"/>
      <c r="Z286" s="202" t="str">
        <f t="shared" si="0"/>
        <v>RLOM Pumps</v>
      </c>
      <c r="AA286" s="172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</row>
    <row r="287" spans="1:40" ht="27" customHeight="1">
      <c r="A287" s="190">
        <v>3</v>
      </c>
      <c r="B287" s="190" t="s">
        <v>538</v>
      </c>
      <c r="C287" s="190">
        <v>31</v>
      </c>
      <c r="D287" s="191" t="s">
        <v>1151</v>
      </c>
      <c r="E287" s="192">
        <v>315</v>
      </c>
      <c r="F287" s="192" t="s">
        <v>1642</v>
      </c>
      <c r="G287" s="193" t="s">
        <v>1772</v>
      </c>
      <c r="H287" s="208" t="str">
        <f>HYPERLINK("http://bsdd.buildingsmart.org/#concept/details/1Mro$cGPv1ygABEyKxXvv3","1Mro$cGPv1ygABEyKxXvv3")</f>
        <v>1Mro$cGPv1ygABEyKxXvv3</v>
      </c>
      <c r="I287" s="119" t="s">
        <v>4952</v>
      </c>
      <c r="J287" s="209" t="s">
        <v>3934</v>
      </c>
      <c r="K287" s="191" t="s">
        <v>2521</v>
      </c>
      <c r="L287" s="250" t="str">
        <f t="shared" ca="1" si="16"/>
        <v>vakumklosett</v>
      </c>
      <c r="M287" s="198"/>
      <c r="N287" s="198" t="s">
        <v>1777</v>
      </c>
      <c r="O287" s="227" t="s">
        <v>2284</v>
      </c>
      <c r="P287" s="198" t="s">
        <v>2525</v>
      </c>
      <c r="Q287" s="198" t="s">
        <v>1779</v>
      </c>
      <c r="R287" s="198"/>
      <c r="S287" s="198"/>
      <c r="T287" s="203"/>
      <c r="U287" s="198"/>
      <c r="V287" s="198"/>
      <c r="W287" s="198"/>
      <c r="X287" s="198"/>
      <c r="Y287" s="198"/>
      <c r="Z287" s="202" t="str">
        <f t="shared" si="0"/>
        <v>RLOM Pumps</v>
      </c>
      <c r="AA287" s="172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</row>
    <row r="288" spans="1:40" ht="64.5" customHeight="1">
      <c r="A288" s="190">
        <v>3</v>
      </c>
      <c r="B288" s="190" t="s">
        <v>538</v>
      </c>
      <c r="C288" s="190">
        <v>31</v>
      </c>
      <c r="D288" s="191" t="s">
        <v>1151</v>
      </c>
      <c r="E288" s="192">
        <v>315</v>
      </c>
      <c r="F288" s="192" t="s">
        <v>1642</v>
      </c>
      <c r="G288" s="191"/>
      <c r="H288" s="222" t="str">
        <f>HYPERLINK("http://bsdd.buildingsmart.org/#concept/details/3Rry3P8ZH71vSV5tw9vpgU","3Rry3P8ZH71vSV5tw9vpgU")</f>
        <v>3Rry3P8ZH71vSV5tw9vpgU</v>
      </c>
      <c r="I288" s="123" t="s">
        <v>2527</v>
      </c>
      <c r="J288" s="195" t="s">
        <v>3935</v>
      </c>
      <c r="K288" s="191" t="s">
        <v>2528</v>
      </c>
      <c r="L288" s="249" t="s">
        <v>3936</v>
      </c>
      <c r="M288" s="210"/>
      <c r="N288" s="230" t="s">
        <v>2532</v>
      </c>
      <c r="O288" s="198" t="s">
        <v>1435</v>
      </c>
      <c r="P288" s="198" t="s">
        <v>1797</v>
      </c>
      <c r="Q288" s="196" t="s">
        <v>1680</v>
      </c>
      <c r="R288" s="198" t="s">
        <v>1681</v>
      </c>
      <c r="S288" s="198" t="s">
        <v>1799</v>
      </c>
      <c r="T288" s="203" t="s">
        <v>2547</v>
      </c>
      <c r="U288" s="200"/>
      <c r="V288" s="200"/>
      <c r="W288" s="226" t="s">
        <v>3728</v>
      </c>
      <c r="X288" s="226" t="s">
        <v>3937</v>
      </c>
      <c r="Y288" s="226" t="s">
        <v>3729</v>
      </c>
      <c r="Z288" s="202" t="str">
        <f t="shared" si="0"/>
        <v>RLOM SanitaryTerminals</v>
      </c>
      <c r="AA288" s="172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</row>
    <row r="289" spans="1:40" ht="36" customHeight="1">
      <c r="A289" s="190">
        <v>3</v>
      </c>
      <c r="B289" s="190" t="s">
        <v>538</v>
      </c>
      <c r="C289" s="190">
        <v>31</v>
      </c>
      <c r="D289" s="191" t="s">
        <v>1151</v>
      </c>
      <c r="E289" s="192">
        <v>316</v>
      </c>
      <c r="F289" s="192" t="s">
        <v>2548</v>
      </c>
      <c r="G289" s="193" t="s">
        <v>2549</v>
      </c>
      <c r="H289" s="231" t="str">
        <f>HYPERLINK("http://bsdd.buildingsmart.org/#concept/details/2boCMnBWH0dBE5SgDLUZTM","2boCMnBWH0dBE5SgDLUZTM")</f>
        <v>2boCMnBWH0dBE5SgDLUZTM</v>
      </c>
      <c r="I289" s="119" t="s">
        <v>4953</v>
      </c>
      <c r="J289" s="209" t="s">
        <v>3938</v>
      </c>
      <c r="K289" s="196"/>
      <c r="L289" s="250" t="str">
        <f ca="1">IFERROR(__xludf.DUMMYFUNCTION(GOOGLETRANSLATE(J289,"no","en")),"insulation sanitary installations")</f>
        <v>insulation sanitary installations</v>
      </c>
      <c r="M289" s="197"/>
      <c r="N289" s="198"/>
      <c r="O289" s="196"/>
      <c r="P289" s="198"/>
      <c r="Q289" s="199" t="s">
        <v>1034</v>
      </c>
      <c r="R289" s="199" t="s">
        <v>1035</v>
      </c>
      <c r="S289" s="199" t="s">
        <v>1037</v>
      </c>
      <c r="T289" s="203"/>
      <c r="U289" s="198"/>
      <c r="V289" s="198"/>
      <c r="W289" s="198"/>
      <c r="X289" s="198"/>
      <c r="Y289" s="198"/>
      <c r="Z289" s="202" t="str">
        <f t="shared" si="0"/>
        <v>RLOM Coverings</v>
      </c>
      <c r="AA289" s="172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</row>
    <row r="290" spans="1:40" ht="24" customHeight="1">
      <c r="A290" s="190">
        <v>3</v>
      </c>
      <c r="B290" s="190" t="s">
        <v>538</v>
      </c>
      <c r="C290" s="190">
        <v>32</v>
      </c>
      <c r="D290" s="191" t="s">
        <v>2553</v>
      </c>
      <c r="E290" s="192">
        <v>320</v>
      </c>
      <c r="F290" s="192"/>
      <c r="G290" s="191"/>
      <c r="H290" s="208" t="str">
        <f>HYPERLINK("http://bsdd.buildingsmart.org/#concept/details/10DmDzLXr7oxp7HO1YmeU9","10DmDzLXr7oxp7HO1YmeU9")</f>
        <v>10DmDzLXr7oxp7HO1YmeU9</v>
      </c>
      <c r="I290" s="119" t="s">
        <v>4954</v>
      </c>
      <c r="J290" s="209" t="s">
        <v>3939</v>
      </c>
      <c r="K290" s="206"/>
      <c r="L290" s="247" t="s">
        <v>3940</v>
      </c>
      <c r="M290" s="198"/>
      <c r="N290" s="203" t="s">
        <v>1829</v>
      </c>
      <c r="O290" s="203" t="s">
        <v>3028</v>
      </c>
      <c r="P290" s="191" t="s">
        <v>2890</v>
      </c>
      <c r="Q290" s="203" t="s">
        <v>2225</v>
      </c>
      <c r="R290" s="203" t="s">
        <v>2227</v>
      </c>
      <c r="S290" s="203" t="s">
        <v>2241</v>
      </c>
      <c r="T290" s="203"/>
      <c r="U290" s="198"/>
      <c r="V290" s="198"/>
      <c r="W290" s="198"/>
      <c r="X290" s="198"/>
      <c r="Y290" s="198"/>
      <c r="Z290" s="202" t="str">
        <f t="shared" si="0"/>
        <v>RLOM Actuators</v>
      </c>
      <c r="AA290" s="172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</row>
    <row r="291" spans="1:40" ht="24" customHeight="1">
      <c r="A291" s="190">
        <v>3</v>
      </c>
      <c r="B291" s="190" t="s">
        <v>538</v>
      </c>
      <c r="C291" s="190">
        <v>32</v>
      </c>
      <c r="D291" s="191" t="s">
        <v>2553</v>
      </c>
      <c r="E291" s="192">
        <v>320</v>
      </c>
      <c r="F291" s="192"/>
      <c r="G291" s="191"/>
      <c r="H291" s="208" t="str">
        <f>HYPERLINK("http://bsdd.buildingsmart.org/#concept/details/0hyGMZOkX8_g_ohkttl9sF","0hyGMZOkX8_g_ohkttl9sF")</f>
        <v>0hyGMZOkX8_g_ohkttl9sF</v>
      </c>
      <c r="I291" s="119" t="s">
        <v>4955</v>
      </c>
      <c r="J291" s="209" t="s">
        <v>3941</v>
      </c>
      <c r="K291" s="206"/>
      <c r="L291" s="250" t="str">
        <f t="shared" ref="L291:L293" ca="1" si="17">IFERROR(__xludf.DUMMYFUNCTION(GOOGLETRANSLATE(J291,"no","en")),"actuator for radiator manual")</f>
        <v>actuator for radiator manual</v>
      </c>
      <c r="M291" s="198"/>
      <c r="N291" s="203" t="s">
        <v>3032</v>
      </c>
      <c r="O291" s="203" t="s">
        <v>3033</v>
      </c>
      <c r="P291" s="191" t="s">
        <v>3035</v>
      </c>
      <c r="Q291" s="203" t="s">
        <v>2225</v>
      </c>
      <c r="R291" s="203" t="s">
        <v>2227</v>
      </c>
      <c r="S291" s="203" t="s">
        <v>2273</v>
      </c>
      <c r="T291" s="203"/>
      <c r="U291" s="198"/>
      <c r="V291" s="198"/>
      <c r="W291" s="198"/>
      <c r="X291" s="198"/>
      <c r="Y291" s="198"/>
      <c r="Z291" s="202" t="str">
        <f t="shared" si="0"/>
        <v>RLOM Actuators</v>
      </c>
      <c r="AA291" s="172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</row>
    <row r="292" spans="1:40" ht="24" customHeight="1">
      <c r="A292" s="190">
        <v>3</v>
      </c>
      <c r="B292" s="190" t="s">
        <v>538</v>
      </c>
      <c r="C292" s="190">
        <v>32</v>
      </c>
      <c r="D292" s="191" t="s">
        <v>2553</v>
      </c>
      <c r="E292" s="192">
        <v>320</v>
      </c>
      <c r="F292" s="192"/>
      <c r="G292" s="191"/>
      <c r="H292" s="208" t="str">
        <f>HYPERLINK("http://bsdd.buildingsmart.org/#concept/details/0Z5EEQapP9DO6U$klCI2lP","0Z5EEQapP9DO6U$klCI2lP")</f>
        <v>0Z5EEQapP9DO6U$klCI2lP</v>
      </c>
      <c r="I292" s="119" t="s">
        <v>4956</v>
      </c>
      <c r="J292" s="209" t="s">
        <v>3942</v>
      </c>
      <c r="K292" s="206"/>
      <c r="L292" s="250" t="str">
        <f t="shared" ca="1" si="17"/>
        <v>actuator for radiator manual</v>
      </c>
      <c r="M292" s="198"/>
      <c r="N292" s="203" t="s">
        <v>3045</v>
      </c>
      <c r="O292" s="203" t="s">
        <v>3048</v>
      </c>
      <c r="P292" s="191" t="s">
        <v>3056</v>
      </c>
      <c r="Q292" s="203" t="s">
        <v>2225</v>
      </c>
      <c r="R292" s="203" t="s">
        <v>2227</v>
      </c>
      <c r="S292" s="203" t="s">
        <v>2338</v>
      </c>
      <c r="T292" s="203"/>
      <c r="U292" s="198"/>
      <c r="V292" s="198"/>
      <c r="W292" s="198"/>
      <c r="X292" s="198"/>
      <c r="Y292" s="198"/>
      <c r="Z292" s="202" t="str">
        <f t="shared" si="0"/>
        <v>RLOM Actuators</v>
      </c>
      <c r="AA292" s="172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</row>
    <row r="293" spans="1:40" ht="24" customHeight="1">
      <c r="A293" s="190">
        <v>3</v>
      </c>
      <c r="B293" s="190" t="s">
        <v>538</v>
      </c>
      <c r="C293" s="190">
        <v>32</v>
      </c>
      <c r="D293" s="191" t="s">
        <v>2553</v>
      </c>
      <c r="E293" s="192">
        <v>320</v>
      </c>
      <c r="F293" s="192"/>
      <c r="G293" s="191"/>
      <c r="H293" s="208" t="str">
        <f>HYPERLINK("http://bsdd.buildingsmart.org/#concept/details/2mlo5mM8fFT96ZvjU1WLG_","2mlo5mM8fFT96ZvjU1WLG_")</f>
        <v>2mlo5mM8fFT96ZvjU1WLG_</v>
      </c>
      <c r="I293" s="119" t="s">
        <v>4957</v>
      </c>
      <c r="J293" s="209" t="s">
        <v>3943</v>
      </c>
      <c r="K293" s="206"/>
      <c r="L293" s="250" t="str">
        <f t="shared" ca="1" si="17"/>
        <v>actuator for radiator manual</v>
      </c>
      <c r="M293" s="198"/>
      <c r="N293" s="203" t="s">
        <v>3045</v>
      </c>
      <c r="O293" s="203" t="s">
        <v>3048</v>
      </c>
      <c r="P293" s="191" t="s">
        <v>3071</v>
      </c>
      <c r="Q293" s="203" t="s">
        <v>2225</v>
      </c>
      <c r="R293" s="203" t="s">
        <v>2227</v>
      </c>
      <c r="S293" s="203" t="s">
        <v>3073</v>
      </c>
      <c r="T293" s="203"/>
      <c r="U293" s="198"/>
      <c r="V293" s="198"/>
      <c r="W293" s="198"/>
      <c r="X293" s="198"/>
      <c r="Y293" s="198"/>
      <c r="Z293" s="202" t="str">
        <f t="shared" si="0"/>
        <v>RLOM Actuators</v>
      </c>
      <c r="AA293" s="172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</row>
    <row r="294" spans="1:40" ht="24" customHeight="1">
      <c r="A294" s="190">
        <v>3</v>
      </c>
      <c r="B294" s="190" t="s">
        <v>538</v>
      </c>
      <c r="C294" s="190">
        <v>32</v>
      </c>
      <c r="D294" s="191" t="s">
        <v>2553</v>
      </c>
      <c r="E294" s="192">
        <v>320</v>
      </c>
      <c r="F294" s="192"/>
      <c r="G294" s="191"/>
      <c r="H294" s="208" t="str">
        <f>HYPERLINK("http://bsdd.buildingsmart.org/#concept/details/2Qsn$cWIz1VeUvYfC3RbAT","2Qsn$cWIz1VeUvYfC3RbAT")</f>
        <v>2Qsn$cWIz1VeUvYfC3RbAT</v>
      </c>
      <c r="I294" s="119" t="s">
        <v>3078</v>
      </c>
      <c r="J294" s="209" t="s">
        <v>3944</v>
      </c>
      <c r="K294" s="206"/>
      <c r="L294" s="247" t="s">
        <v>3945</v>
      </c>
      <c r="M294" s="198"/>
      <c r="N294" s="203" t="s">
        <v>3045</v>
      </c>
      <c r="O294" s="203" t="s">
        <v>3048</v>
      </c>
      <c r="P294" s="191" t="s">
        <v>3082</v>
      </c>
      <c r="Q294" s="203" t="s">
        <v>2225</v>
      </c>
      <c r="R294" s="203" t="s">
        <v>2227</v>
      </c>
      <c r="S294" s="203" t="s">
        <v>2241</v>
      </c>
      <c r="T294" s="203"/>
      <c r="U294" s="198"/>
      <c r="V294" s="198"/>
      <c r="W294" s="198"/>
      <c r="X294" s="198"/>
      <c r="Y294" s="198"/>
      <c r="Z294" s="202" t="str">
        <f t="shared" si="0"/>
        <v>RLOM Actuators</v>
      </c>
      <c r="AA294" s="172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</row>
    <row r="295" spans="1:40" ht="21.75" customHeight="1">
      <c r="A295" s="190">
        <v>3</v>
      </c>
      <c r="B295" s="190" t="s">
        <v>538</v>
      </c>
      <c r="C295" s="190">
        <v>32</v>
      </c>
      <c r="D295" s="191" t="s">
        <v>2553</v>
      </c>
      <c r="E295" s="192">
        <v>321</v>
      </c>
      <c r="F295" s="192" t="s">
        <v>2555</v>
      </c>
      <c r="G295" s="193" t="s">
        <v>2557</v>
      </c>
      <c r="H295" s="222" t="str">
        <f>HYPERLINK("http://bsdd.buildingsmart.org/#concept/details/2zhDW$s2PByw$7QzG$35S8","2zhDW$s2PByw$7QzG$35S8")</f>
        <v>2zhDW$s2PByw$7QzG$35S8</v>
      </c>
      <c r="I295" s="119" t="s">
        <v>4958</v>
      </c>
      <c r="J295" s="209" t="s">
        <v>3946</v>
      </c>
      <c r="K295" s="206"/>
      <c r="L295" s="250" t="s">
        <v>3947</v>
      </c>
      <c r="M295" s="198"/>
      <c r="N295" s="203" t="s">
        <v>722</v>
      </c>
      <c r="O295" s="199" t="s">
        <v>724</v>
      </c>
      <c r="P295" s="191" t="s">
        <v>726</v>
      </c>
      <c r="Q295" s="203" t="s">
        <v>809</v>
      </c>
      <c r="R295" s="203" t="s">
        <v>810</v>
      </c>
      <c r="S295" s="203" t="s">
        <v>811</v>
      </c>
      <c r="T295" s="203"/>
      <c r="U295" s="198"/>
      <c r="V295" s="198"/>
      <c r="W295" s="198"/>
      <c r="X295" s="198"/>
      <c r="Y295" s="198"/>
      <c r="Z295" s="202" t="str">
        <f t="shared" si="0"/>
        <v>RLOM PipeSegments</v>
      </c>
      <c r="AA295" s="172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</row>
    <row r="296" spans="1:40" ht="21.75" customHeight="1">
      <c r="A296" s="190">
        <v>3</v>
      </c>
      <c r="B296" s="190" t="s">
        <v>538</v>
      </c>
      <c r="C296" s="190">
        <v>32</v>
      </c>
      <c r="D296" s="191" t="s">
        <v>2553</v>
      </c>
      <c r="E296" s="192">
        <v>321</v>
      </c>
      <c r="F296" s="192" t="s">
        <v>2555</v>
      </c>
      <c r="G296" s="193" t="s">
        <v>2557</v>
      </c>
      <c r="H296" s="222" t="str">
        <f>HYPERLINK("http://bsdd.buildingsmart.org/#concept/details/22x$pcoGD9qP8vz67ISzaZ","22x$pcoGD9qP8vz67ISzaZ")</f>
        <v>22x$pcoGD9qP8vz67ISzaZ</v>
      </c>
      <c r="I296" s="122" t="s">
        <v>4959</v>
      </c>
      <c r="J296" s="195" t="s">
        <v>3948</v>
      </c>
      <c r="K296" s="191" t="s">
        <v>2562</v>
      </c>
      <c r="L296" s="250" t="s">
        <v>3949</v>
      </c>
      <c r="M296" s="198"/>
      <c r="N296" s="203" t="s">
        <v>565</v>
      </c>
      <c r="O296" s="199" t="s">
        <v>566</v>
      </c>
      <c r="P296" s="191" t="s">
        <v>794</v>
      </c>
      <c r="Q296" s="203" t="s">
        <v>569</v>
      </c>
      <c r="R296" s="203" t="s">
        <v>571</v>
      </c>
      <c r="S296" s="203" t="s">
        <v>795</v>
      </c>
      <c r="T296" s="203" t="s">
        <v>796</v>
      </c>
      <c r="U296" s="198"/>
      <c r="V296" s="198"/>
      <c r="W296" s="198"/>
      <c r="X296" s="198"/>
      <c r="Y296" s="198"/>
      <c r="Z296" s="202" t="str">
        <f t="shared" si="0"/>
        <v>RLOM PipeFittings</v>
      </c>
      <c r="AA296" s="172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</row>
    <row r="297" spans="1:40" ht="24" customHeight="1">
      <c r="A297" s="190">
        <v>3</v>
      </c>
      <c r="B297" s="190" t="s">
        <v>538</v>
      </c>
      <c r="C297" s="190">
        <v>32</v>
      </c>
      <c r="D297" s="191" t="s">
        <v>2553</v>
      </c>
      <c r="E297" s="192">
        <v>321</v>
      </c>
      <c r="F297" s="192" t="s">
        <v>2555</v>
      </c>
      <c r="G297" s="193" t="s">
        <v>2557</v>
      </c>
      <c r="H297" s="222" t="str">
        <f>HYPERLINK("http://bsdd.buildingsmart.org/#concept/details/3s2LsLeSf66x4rFzXSIk5E","3s2LsLeSf66x4rFzXSIk5E")</f>
        <v>3s2LsLeSf66x4rFzXSIk5E</v>
      </c>
      <c r="I297" s="122" t="s">
        <v>4960</v>
      </c>
      <c r="J297" s="195" t="s">
        <v>3950</v>
      </c>
      <c r="K297" s="191"/>
      <c r="L297" s="250" t="s">
        <v>3951</v>
      </c>
      <c r="M297" s="198"/>
      <c r="N297" s="203" t="s">
        <v>565</v>
      </c>
      <c r="O297" s="199" t="s">
        <v>566</v>
      </c>
      <c r="P297" s="191" t="s">
        <v>794</v>
      </c>
      <c r="Q297" s="203" t="s">
        <v>569</v>
      </c>
      <c r="R297" s="203" t="s">
        <v>571</v>
      </c>
      <c r="S297" s="203" t="s">
        <v>795</v>
      </c>
      <c r="T297" s="203" t="s">
        <v>910</v>
      </c>
      <c r="U297" s="198"/>
      <c r="V297" s="198"/>
      <c r="W297" s="198"/>
      <c r="X297" s="198"/>
      <c r="Y297" s="198"/>
      <c r="Z297" s="202" t="str">
        <f t="shared" si="0"/>
        <v>RLOM PipeFittings</v>
      </c>
      <c r="AA297" s="172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</row>
    <row r="298" spans="1:40" ht="21.75" customHeight="1">
      <c r="A298" s="190">
        <v>3</v>
      </c>
      <c r="B298" s="190" t="s">
        <v>538</v>
      </c>
      <c r="C298" s="190">
        <v>32</v>
      </c>
      <c r="D298" s="191" t="s">
        <v>2553</v>
      </c>
      <c r="E298" s="192">
        <v>321</v>
      </c>
      <c r="F298" s="192" t="s">
        <v>2555</v>
      </c>
      <c r="G298" s="193" t="s">
        <v>2557</v>
      </c>
      <c r="H298" s="222" t="str">
        <f>HYPERLINK("http://bsdd.buildingsmart.org/#concept/details/06F6nIyiT7TxQjSX2HXt3J","06F6nIyiT7TxQjSX2HXt3J")</f>
        <v>06F6nIyiT7TxQjSX2HXt3J</v>
      </c>
      <c r="I298" s="122" t="s">
        <v>4961</v>
      </c>
      <c r="J298" s="195" t="s">
        <v>3952</v>
      </c>
      <c r="K298" s="191" t="s">
        <v>550</v>
      </c>
      <c r="L298" s="250" t="s">
        <v>3953</v>
      </c>
      <c r="M298" s="198"/>
      <c r="N298" s="203" t="s">
        <v>565</v>
      </c>
      <c r="O298" s="199" t="s">
        <v>566</v>
      </c>
      <c r="P298" s="191" t="s">
        <v>567</v>
      </c>
      <c r="Q298" s="203" t="s">
        <v>569</v>
      </c>
      <c r="R298" s="203" t="s">
        <v>571</v>
      </c>
      <c r="S298" s="203" t="s">
        <v>573</v>
      </c>
      <c r="T298" s="203"/>
      <c r="U298" s="198"/>
      <c r="V298" s="198"/>
      <c r="W298" s="198"/>
      <c r="X298" s="198"/>
      <c r="Y298" s="198"/>
      <c r="Z298" s="202" t="str">
        <f t="shared" si="0"/>
        <v>RLOM PipeFittings</v>
      </c>
      <c r="AA298" s="172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</row>
    <row r="299" spans="1:40" ht="21.75" customHeight="1">
      <c r="A299" s="190">
        <v>3</v>
      </c>
      <c r="B299" s="190" t="s">
        <v>538</v>
      </c>
      <c r="C299" s="190">
        <v>32</v>
      </c>
      <c r="D299" s="191" t="s">
        <v>2553</v>
      </c>
      <c r="E299" s="192">
        <v>322</v>
      </c>
      <c r="F299" s="192" t="s">
        <v>2593</v>
      </c>
      <c r="G299" s="193" t="s">
        <v>1258</v>
      </c>
      <c r="H299" s="222" t="str">
        <f>HYPERLINK("http://bsdd.buildingsmart.org/#concept/details/0cQu1psD94mf6jsLPKNbZL","0cQu1psD94mf6jsLPKNbZL")</f>
        <v>0cQu1psD94mf6jsLPKNbZL</v>
      </c>
      <c r="I299" s="119" t="s">
        <v>4962</v>
      </c>
      <c r="J299" s="209" t="s">
        <v>3954</v>
      </c>
      <c r="K299" s="206"/>
      <c r="L299" s="250" t="s">
        <v>3955</v>
      </c>
      <c r="M299" s="198"/>
      <c r="N299" s="203" t="s">
        <v>722</v>
      </c>
      <c r="O299" s="199" t="s">
        <v>724</v>
      </c>
      <c r="P299" s="191" t="s">
        <v>726</v>
      </c>
      <c r="Q299" s="203" t="s">
        <v>809</v>
      </c>
      <c r="R299" s="203" t="s">
        <v>810</v>
      </c>
      <c r="S299" s="203" t="s">
        <v>811</v>
      </c>
      <c r="T299" s="203"/>
      <c r="U299" s="198"/>
      <c r="V299" s="198"/>
      <c r="W299" s="198"/>
      <c r="X299" s="198"/>
      <c r="Y299" s="198"/>
      <c r="Z299" s="202" t="str">
        <f t="shared" si="0"/>
        <v>RLOM PipeSegments</v>
      </c>
      <c r="AA299" s="172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</row>
    <row r="300" spans="1:40" ht="21.75" customHeight="1">
      <c r="A300" s="190">
        <v>3</v>
      </c>
      <c r="B300" s="190" t="s">
        <v>538</v>
      </c>
      <c r="C300" s="190">
        <v>32</v>
      </c>
      <c r="D300" s="191" t="s">
        <v>2553</v>
      </c>
      <c r="E300" s="192">
        <v>322</v>
      </c>
      <c r="F300" s="192" t="s">
        <v>2593</v>
      </c>
      <c r="G300" s="193" t="s">
        <v>1258</v>
      </c>
      <c r="H300" s="222" t="str">
        <f>HYPERLINK("http://bsdd.buildingsmart.org/#concept/details/1U_hGF$QPAdfjS7fwbYZDr","1U_hGF$QPAdfjS7fwbYZDr")</f>
        <v>1U_hGF$QPAdfjS7fwbYZDr</v>
      </c>
      <c r="I300" s="122" t="s">
        <v>4963</v>
      </c>
      <c r="J300" s="195" t="s">
        <v>3956</v>
      </c>
      <c r="K300" s="191" t="s">
        <v>2596</v>
      </c>
      <c r="L300" s="250" t="s">
        <v>3957</v>
      </c>
      <c r="M300" s="198"/>
      <c r="N300" s="203" t="s">
        <v>565</v>
      </c>
      <c r="O300" s="199" t="s">
        <v>566</v>
      </c>
      <c r="P300" s="191" t="s">
        <v>794</v>
      </c>
      <c r="Q300" s="203" t="s">
        <v>569</v>
      </c>
      <c r="R300" s="203" t="s">
        <v>571</v>
      </c>
      <c r="S300" s="203" t="s">
        <v>795</v>
      </c>
      <c r="T300" s="203" t="s">
        <v>796</v>
      </c>
      <c r="U300" s="198"/>
      <c r="V300" s="198"/>
      <c r="W300" s="198"/>
      <c r="X300" s="198"/>
      <c r="Y300" s="198"/>
      <c r="Z300" s="202" t="str">
        <f t="shared" si="0"/>
        <v>RLOM PipeFittings</v>
      </c>
      <c r="AA300" s="172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</row>
    <row r="301" spans="1:40" ht="21.75" customHeight="1">
      <c r="A301" s="190">
        <v>3</v>
      </c>
      <c r="B301" s="190" t="s">
        <v>538</v>
      </c>
      <c r="C301" s="190">
        <v>32</v>
      </c>
      <c r="D301" s="191" t="s">
        <v>2553</v>
      </c>
      <c r="E301" s="192">
        <v>322</v>
      </c>
      <c r="F301" s="192" t="s">
        <v>2593</v>
      </c>
      <c r="G301" s="193" t="s">
        <v>1258</v>
      </c>
      <c r="H301" s="222" t="str">
        <f>HYPERLINK("http://bsdd.buildingsmart.org/#concept/details/1$$5FoAwX1uuvkbeTgv7oh","1$$5FoAwX1uuvkbeTgv7oh")</f>
        <v>1$$5FoAwX1uuvkbeTgv7oh</v>
      </c>
      <c r="I301" s="122" t="s">
        <v>4964</v>
      </c>
      <c r="J301" s="195" t="s">
        <v>3958</v>
      </c>
      <c r="K301" s="191"/>
      <c r="L301" s="250" t="s">
        <v>3959</v>
      </c>
      <c r="M301" s="198"/>
      <c r="N301" s="203" t="s">
        <v>565</v>
      </c>
      <c r="O301" s="199" t="s">
        <v>566</v>
      </c>
      <c r="P301" s="191" t="s">
        <v>794</v>
      </c>
      <c r="Q301" s="203" t="s">
        <v>569</v>
      </c>
      <c r="R301" s="203" t="s">
        <v>571</v>
      </c>
      <c r="S301" s="203" t="s">
        <v>795</v>
      </c>
      <c r="T301" s="203" t="s">
        <v>910</v>
      </c>
      <c r="U301" s="198"/>
      <c r="V301" s="198"/>
      <c r="W301" s="198"/>
      <c r="X301" s="198"/>
      <c r="Y301" s="198"/>
      <c r="Z301" s="202" t="str">
        <f t="shared" si="0"/>
        <v>RLOM PipeFittings</v>
      </c>
      <c r="AA301" s="172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</row>
    <row r="302" spans="1:40" ht="21.75" customHeight="1">
      <c r="A302" s="190">
        <v>3</v>
      </c>
      <c r="B302" s="190" t="s">
        <v>538</v>
      </c>
      <c r="C302" s="190">
        <v>32</v>
      </c>
      <c r="D302" s="191" t="s">
        <v>2553</v>
      </c>
      <c r="E302" s="192">
        <v>322</v>
      </c>
      <c r="F302" s="192" t="s">
        <v>2593</v>
      </c>
      <c r="G302" s="193" t="s">
        <v>1258</v>
      </c>
      <c r="H302" s="222" t="str">
        <f>HYPERLINK("http://bsdd.buildingsmart.org/#concept/details/0JZTJ8bGPE8BxmIUwPp$V_","0JZTJ8bGPE8BxmIUwPp$V_")</f>
        <v>0JZTJ8bGPE8BxmIUwPp$V_</v>
      </c>
      <c r="I302" s="122" t="s">
        <v>4965</v>
      </c>
      <c r="J302" s="195" t="s">
        <v>3960</v>
      </c>
      <c r="K302" s="191" t="s">
        <v>550</v>
      </c>
      <c r="L302" s="250" t="str">
        <f ca="1">IFERROR(__xludf.DUMMYFUNCTION(GOOGLETRANSLATE(J302,"no","en")),"bend heat")</f>
        <v>bend heat</v>
      </c>
      <c r="M302" s="198"/>
      <c r="N302" s="203" t="s">
        <v>565</v>
      </c>
      <c r="O302" s="199" t="s">
        <v>566</v>
      </c>
      <c r="P302" s="191" t="s">
        <v>567</v>
      </c>
      <c r="Q302" s="203" t="s">
        <v>569</v>
      </c>
      <c r="R302" s="203" t="s">
        <v>571</v>
      </c>
      <c r="S302" s="203" t="s">
        <v>573</v>
      </c>
      <c r="T302" s="203"/>
      <c r="U302" s="198"/>
      <c r="V302" s="198"/>
      <c r="W302" s="198"/>
      <c r="X302" s="198"/>
      <c r="Y302" s="198"/>
      <c r="Z302" s="202" t="str">
        <f t="shared" si="0"/>
        <v>RLOM PipeFittings</v>
      </c>
      <c r="AA302" s="172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</row>
    <row r="303" spans="1:40" ht="24" customHeight="1">
      <c r="A303" s="190">
        <v>3</v>
      </c>
      <c r="B303" s="190" t="s">
        <v>538</v>
      </c>
      <c r="C303" s="190">
        <v>32</v>
      </c>
      <c r="D303" s="191" t="s">
        <v>2553</v>
      </c>
      <c r="E303" s="192">
        <v>322</v>
      </c>
      <c r="F303" s="192" t="s">
        <v>2593</v>
      </c>
      <c r="G303" s="193" t="s">
        <v>1258</v>
      </c>
      <c r="H303" s="208" t="str">
        <f>HYPERLINK("http://bsdd.buildingsmart.org/#concept/details/3bCHyFK2D4NxIKIfjbLKQ$","3bCHyFK2D4NxIKIfjbLKQ$")</f>
        <v>3bCHyFK2D4NxIKIfjbLKQ$</v>
      </c>
      <c r="I303" s="119" t="s">
        <v>4966</v>
      </c>
      <c r="J303" s="209" t="s">
        <v>3961</v>
      </c>
      <c r="K303" s="206" t="s">
        <v>2614</v>
      </c>
      <c r="L303" s="247" t="s">
        <v>3345</v>
      </c>
      <c r="M303" s="198"/>
      <c r="N303" s="203" t="s">
        <v>786</v>
      </c>
      <c r="O303" s="199" t="s">
        <v>787</v>
      </c>
      <c r="P303" s="191" t="s">
        <v>828</v>
      </c>
      <c r="Q303" s="203" t="s">
        <v>789</v>
      </c>
      <c r="R303" s="203" t="s">
        <v>790</v>
      </c>
      <c r="S303" s="203" t="s">
        <v>791</v>
      </c>
      <c r="T303" s="203"/>
      <c r="U303" s="198"/>
      <c r="V303" s="198"/>
      <c r="W303" s="198"/>
      <c r="X303" s="198"/>
      <c r="Y303" s="198"/>
      <c r="Z303" s="202" t="str">
        <f t="shared" si="0"/>
        <v>RLOM DistributionChamberElements</v>
      </c>
      <c r="AA303" s="172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</row>
    <row r="304" spans="1:40" ht="21.75" customHeight="1">
      <c r="A304" s="190">
        <v>3</v>
      </c>
      <c r="B304" s="190" t="s">
        <v>538</v>
      </c>
      <c r="C304" s="190">
        <v>32</v>
      </c>
      <c r="D304" s="191" t="s">
        <v>2553</v>
      </c>
      <c r="E304" s="192">
        <v>324</v>
      </c>
      <c r="F304" s="192" t="s">
        <v>2626</v>
      </c>
      <c r="G304" s="191" t="s">
        <v>2627</v>
      </c>
      <c r="H304" s="208" t="str">
        <f>HYPERLINK("http://bsdd.buildingsmart.org/#concept/details/1xcYWENQv0$RF_uoISu8xS","1xcYWENQv0$RF_uoISu8xS")</f>
        <v>1xcYWENQv0$RF_uoISu8xS</v>
      </c>
      <c r="I304" s="123" t="s">
        <v>2630</v>
      </c>
      <c r="J304" s="195" t="s">
        <v>3962</v>
      </c>
      <c r="K304" s="191" t="s">
        <v>2631</v>
      </c>
      <c r="L304" s="247" t="s">
        <v>2633</v>
      </c>
      <c r="M304" s="198"/>
      <c r="N304" s="203" t="s">
        <v>2637</v>
      </c>
      <c r="O304" s="203" t="s">
        <v>2640</v>
      </c>
      <c r="P304" s="191"/>
      <c r="Q304" s="203" t="s">
        <v>986</v>
      </c>
      <c r="R304" s="203" t="s">
        <v>987</v>
      </c>
      <c r="S304" s="203" t="s">
        <v>1567</v>
      </c>
      <c r="T304" s="203" t="s">
        <v>3963</v>
      </c>
      <c r="U304" s="198"/>
      <c r="V304" s="198"/>
      <c r="W304" s="198"/>
      <c r="X304" s="198"/>
      <c r="Y304" s="198"/>
      <c r="Z304" s="202" t="str">
        <f t="shared" si="0"/>
        <v>RLOM Valves</v>
      </c>
      <c r="AA304" s="172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</row>
    <row r="305" spans="1:40" ht="21.75" customHeight="1">
      <c r="A305" s="190">
        <v>3</v>
      </c>
      <c r="B305" s="190" t="s">
        <v>538</v>
      </c>
      <c r="C305" s="190">
        <v>32</v>
      </c>
      <c r="D305" s="191" t="s">
        <v>2553</v>
      </c>
      <c r="E305" s="192">
        <v>324</v>
      </c>
      <c r="F305" s="192" t="s">
        <v>2553</v>
      </c>
      <c r="G305" s="193" t="s">
        <v>2627</v>
      </c>
      <c r="H305" s="222" t="str">
        <f>HYPERLINK("http://bsdd.buildingsmart.org/#concept/details/3X_rMOyK50MAMXoX_jSaGx","3X_rMOyK50MAMXoX_jSaGx")</f>
        <v>3X_rMOyK50MAMXoX_jSaGx</v>
      </c>
      <c r="I305" s="123" t="s">
        <v>4967</v>
      </c>
      <c r="J305" s="195" t="s">
        <v>3964</v>
      </c>
      <c r="K305" s="191" t="s">
        <v>2673</v>
      </c>
      <c r="L305" s="249" t="s">
        <v>3613</v>
      </c>
      <c r="M305" s="198"/>
      <c r="N305" s="203" t="s">
        <v>1565</v>
      </c>
      <c r="O305" s="203" t="s">
        <v>1566</v>
      </c>
      <c r="P305" s="191"/>
      <c r="Q305" s="203" t="s">
        <v>986</v>
      </c>
      <c r="R305" s="203" t="s">
        <v>987</v>
      </c>
      <c r="S305" s="203" t="s">
        <v>1567</v>
      </c>
      <c r="T305" s="203" t="s">
        <v>3965</v>
      </c>
      <c r="U305" s="198"/>
      <c r="V305" s="198"/>
      <c r="W305" s="198"/>
      <c r="X305" s="198"/>
      <c r="Y305" s="198"/>
      <c r="Z305" s="202" t="str">
        <f t="shared" si="0"/>
        <v>RLOM Valves</v>
      </c>
      <c r="AA305" s="172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</row>
    <row r="306" spans="1:40" ht="21.75" customHeight="1">
      <c r="A306" s="190">
        <v>3</v>
      </c>
      <c r="B306" s="190" t="s">
        <v>538</v>
      </c>
      <c r="C306" s="190">
        <v>32</v>
      </c>
      <c r="D306" s="191" t="s">
        <v>2553</v>
      </c>
      <c r="E306" s="192">
        <v>324</v>
      </c>
      <c r="F306" s="192" t="s">
        <v>2553</v>
      </c>
      <c r="G306" s="193" t="s">
        <v>2627</v>
      </c>
      <c r="H306" s="222" t="str">
        <f>HYPERLINK("http://bsdd.buildingsmart.org/#concept/details/0dE6iFTEz1d99VqGqTC0MB","0dE6iFTEz1d99VqGqTC0MB")</f>
        <v>0dE6iFTEz1d99VqGqTC0MB</v>
      </c>
      <c r="I306" s="123" t="s">
        <v>4968</v>
      </c>
      <c r="J306" s="195" t="s">
        <v>3966</v>
      </c>
      <c r="K306" s="191" t="s">
        <v>2712</v>
      </c>
      <c r="L306" s="249" t="s">
        <v>3613</v>
      </c>
      <c r="M306" s="198"/>
      <c r="N306" s="203" t="s">
        <v>1565</v>
      </c>
      <c r="O306" s="203" t="s">
        <v>1566</v>
      </c>
      <c r="P306" s="191"/>
      <c r="Q306" s="203" t="s">
        <v>986</v>
      </c>
      <c r="R306" s="203" t="s">
        <v>987</v>
      </c>
      <c r="S306" s="203" t="s">
        <v>1567</v>
      </c>
      <c r="T306" s="203" t="s">
        <v>3965</v>
      </c>
      <c r="U306" s="198"/>
      <c r="V306" s="198"/>
      <c r="W306" s="198"/>
      <c r="X306" s="198"/>
      <c r="Y306" s="198"/>
      <c r="Z306" s="202" t="str">
        <f t="shared" si="0"/>
        <v>RLOM Valves</v>
      </c>
      <c r="AA306" s="172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</row>
    <row r="307" spans="1:40" ht="21.75" customHeight="1">
      <c r="A307" s="190">
        <v>3</v>
      </c>
      <c r="B307" s="190" t="s">
        <v>538</v>
      </c>
      <c r="C307" s="190">
        <v>32</v>
      </c>
      <c r="D307" s="191" t="s">
        <v>2553</v>
      </c>
      <c r="E307" s="192">
        <v>325</v>
      </c>
      <c r="F307" s="192" t="s">
        <v>2736</v>
      </c>
      <c r="G307" s="193" t="s">
        <v>2737</v>
      </c>
      <c r="H307" s="208" t="str">
        <f>HYPERLINK("http://bsdd.buildingsmart.org/#concept/details/3SrPRmTgL5Rf_gWltxyFVX","3SrPRmTgL5Rf_gWltxyFVX")</f>
        <v>3SrPRmTgL5Rf_gWltxyFVX</v>
      </c>
      <c r="I307" s="119" t="s">
        <v>2738</v>
      </c>
      <c r="J307" s="209" t="s">
        <v>3967</v>
      </c>
      <c r="K307" s="206" t="s">
        <v>2739</v>
      </c>
      <c r="L307" s="247" t="s">
        <v>3968</v>
      </c>
      <c r="M307" s="198"/>
      <c r="N307" s="203" t="s">
        <v>921</v>
      </c>
      <c r="O307" s="203" t="s">
        <v>935</v>
      </c>
      <c r="P307" s="191" t="s">
        <v>2738</v>
      </c>
      <c r="Q307" s="203" t="s">
        <v>936</v>
      </c>
      <c r="R307" s="203" t="s">
        <v>937</v>
      </c>
      <c r="S307" s="203" t="s">
        <v>2746</v>
      </c>
      <c r="T307" s="203"/>
      <c r="U307" s="198"/>
      <c r="V307" s="198"/>
      <c r="W307" s="198"/>
      <c r="X307" s="198"/>
      <c r="Y307" s="198"/>
      <c r="Z307" s="202" t="str">
        <f t="shared" si="0"/>
        <v>RLOM Tanks</v>
      </c>
      <c r="AA307" s="172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3"/>
      <c r="AN307" s="153"/>
    </row>
    <row r="308" spans="1:40" ht="21.75" customHeight="1">
      <c r="A308" s="190">
        <v>3</v>
      </c>
      <c r="B308" s="190" t="s">
        <v>538</v>
      </c>
      <c r="C308" s="190">
        <v>32</v>
      </c>
      <c r="D308" s="191" t="s">
        <v>2553</v>
      </c>
      <c r="E308" s="192">
        <v>325</v>
      </c>
      <c r="F308" s="192" t="s">
        <v>2736</v>
      </c>
      <c r="G308" s="193" t="s">
        <v>2737</v>
      </c>
      <c r="H308" s="208" t="str">
        <f>HYPERLINK("http://bsdd.buildingsmart.org/#concept/details/0PBRLIbjrFJurPlf06N1hl","0PBRLIbjrFJurPlf06N1hl")</f>
        <v>0PBRLIbjrFJurPlf06N1hl</v>
      </c>
      <c r="I308" s="119" t="s">
        <v>4969</v>
      </c>
      <c r="J308" s="209" t="s">
        <v>3969</v>
      </c>
      <c r="K308" s="206" t="s">
        <v>2759</v>
      </c>
      <c r="L308" s="247" t="s">
        <v>3970</v>
      </c>
      <c r="M308" s="198"/>
      <c r="N308" s="203" t="s">
        <v>1872</v>
      </c>
      <c r="O308" s="203" t="s">
        <v>1874</v>
      </c>
      <c r="P308" s="191" t="s">
        <v>1875</v>
      </c>
      <c r="Q308" s="203" t="s">
        <v>1877</v>
      </c>
      <c r="R308" s="203" t="s">
        <v>1878</v>
      </c>
      <c r="S308" s="203" t="s">
        <v>1879</v>
      </c>
      <c r="T308" s="203" t="s">
        <v>3971</v>
      </c>
      <c r="U308" s="198"/>
      <c r="V308" s="198"/>
      <c r="W308" s="198"/>
      <c r="X308" s="198"/>
      <c r="Y308" s="198"/>
      <c r="Z308" s="202" t="str">
        <f t="shared" si="0"/>
        <v>RLOM Boilers</v>
      </c>
      <c r="AA308" s="172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3"/>
      <c r="AN308" s="153"/>
    </row>
    <row r="309" spans="1:40" ht="33" customHeight="1">
      <c r="A309" s="190">
        <v>3</v>
      </c>
      <c r="B309" s="190" t="s">
        <v>538</v>
      </c>
      <c r="C309" s="190">
        <v>32</v>
      </c>
      <c r="D309" s="191" t="s">
        <v>2553</v>
      </c>
      <c r="E309" s="192">
        <v>325</v>
      </c>
      <c r="F309" s="192" t="s">
        <v>2736</v>
      </c>
      <c r="G309" s="191" t="s">
        <v>2737</v>
      </c>
      <c r="H309" s="208" t="str">
        <f>HYPERLINK("http://bsdd.buildingsmart.org/#concept/details/2Efu7FuJ51ggD3JwoIybOB","2Efu7FuJ51ggD3JwoIybOB")</f>
        <v>2Efu7FuJ51ggD3JwoIybOB</v>
      </c>
      <c r="I309" s="119" t="s">
        <v>2793</v>
      </c>
      <c r="J309" s="209" t="s">
        <v>3972</v>
      </c>
      <c r="K309" s="206" t="s">
        <v>2794</v>
      </c>
      <c r="L309" s="247" t="s">
        <v>3973</v>
      </c>
      <c r="M309" s="198"/>
      <c r="N309" s="203" t="s">
        <v>1719</v>
      </c>
      <c r="O309" s="203" t="s">
        <v>2828</v>
      </c>
      <c r="P309" s="191" t="s">
        <v>2829</v>
      </c>
      <c r="Q309" s="203" t="s">
        <v>2830</v>
      </c>
      <c r="R309" s="203" t="s">
        <v>1724</v>
      </c>
      <c r="S309" s="203" t="s">
        <v>2833</v>
      </c>
      <c r="T309" s="203" t="s">
        <v>3974</v>
      </c>
      <c r="U309" s="198"/>
      <c r="V309" s="198"/>
      <c r="W309" s="198"/>
      <c r="X309" s="198"/>
      <c r="Y309" s="198"/>
      <c r="Z309" s="202" t="str">
        <f t="shared" si="0"/>
        <v>RLOM SpaceHeater s</v>
      </c>
      <c r="AA309" s="172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3"/>
      <c r="AN309" s="153"/>
    </row>
    <row r="310" spans="1:40" ht="24" customHeight="1">
      <c r="A310" s="190">
        <v>3</v>
      </c>
      <c r="B310" s="190" t="s">
        <v>538</v>
      </c>
      <c r="C310" s="190">
        <v>32</v>
      </c>
      <c r="D310" s="191" t="s">
        <v>2553</v>
      </c>
      <c r="E310" s="192">
        <v>325</v>
      </c>
      <c r="F310" s="192" t="s">
        <v>2736</v>
      </c>
      <c r="G310" s="191" t="s">
        <v>2737</v>
      </c>
      <c r="H310" s="208" t="str">
        <f>HYPERLINK("http://bsdd.buildingsmart.org/#concept/details/3r730XckH2XRdNAARKglP7","3r730XckH2XRdNAARKglP7")</f>
        <v>3r730XckH2XRdNAARKglP7</v>
      </c>
      <c r="I310" s="119" t="s">
        <v>4970</v>
      </c>
      <c r="J310" s="209" t="s">
        <v>2854</v>
      </c>
      <c r="K310" s="206"/>
      <c r="L310" s="250" t="str">
        <f ca="1">IFERROR(__xludf.DUMMYFUNCTION(GOOGLETRANSLATE(J310,"no","en")),"Convector with valve without separate fan")</f>
        <v>Convector with valve without separate fan</v>
      </c>
      <c r="M310" s="198"/>
      <c r="N310" s="199" t="s">
        <v>2861</v>
      </c>
      <c r="O310" s="199" t="s">
        <v>2864</v>
      </c>
      <c r="P310" s="191" t="s">
        <v>2868</v>
      </c>
      <c r="Q310" s="203" t="s">
        <v>2830</v>
      </c>
      <c r="R310" s="203" t="s">
        <v>1724</v>
      </c>
      <c r="S310" s="203" t="s">
        <v>1725</v>
      </c>
      <c r="T310" s="203" t="s">
        <v>3975</v>
      </c>
      <c r="U310" s="198"/>
      <c r="V310" s="198"/>
      <c r="W310" s="198"/>
      <c r="X310" s="198"/>
      <c r="Y310" s="198"/>
      <c r="Z310" s="202" t="str">
        <f t="shared" si="0"/>
        <v>RLOM SpaceHeater s</v>
      </c>
      <c r="AA310" s="172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</row>
    <row r="311" spans="1:40" ht="21.75" customHeight="1">
      <c r="A311" s="190">
        <v>3</v>
      </c>
      <c r="B311" s="190" t="s">
        <v>538</v>
      </c>
      <c r="C311" s="190">
        <v>32</v>
      </c>
      <c r="D311" s="191" t="s">
        <v>2553</v>
      </c>
      <c r="E311" s="192">
        <v>325</v>
      </c>
      <c r="F311" s="192" t="s">
        <v>2736</v>
      </c>
      <c r="G311" s="193" t="s">
        <v>2737</v>
      </c>
      <c r="H311" s="208" t="str">
        <f>HYPERLINK("http://bsdd.buildingsmart.org/#concept/details/2lMpI1J3n66vdcui2IpDyS","2lMpI1J3n66vdcui2IpDyS")</f>
        <v>2lMpI1J3n66vdcui2IpDyS</v>
      </c>
      <c r="I311" s="119" t="s">
        <v>2284</v>
      </c>
      <c r="J311" s="209" t="s">
        <v>3976</v>
      </c>
      <c r="K311" s="206" t="s">
        <v>2759</v>
      </c>
      <c r="L311" s="247" t="s">
        <v>3977</v>
      </c>
      <c r="M311" s="198"/>
      <c r="N311" s="203" t="s">
        <v>1777</v>
      </c>
      <c r="O311" s="203" t="s">
        <v>2284</v>
      </c>
      <c r="P311" s="191" t="s">
        <v>2285</v>
      </c>
      <c r="Q311" s="203" t="s">
        <v>1779</v>
      </c>
      <c r="R311" s="203" t="s">
        <v>1780</v>
      </c>
      <c r="S311" s="203" t="s">
        <v>2287</v>
      </c>
      <c r="T311" s="203"/>
      <c r="U311" s="198"/>
      <c r="V311" s="198"/>
      <c r="W311" s="198"/>
      <c r="X311" s="198"/>
      <c r="Y311" s="198"/>
      <c r="Z311" s="202" t="str">
        <f t="shared" si="0"/>
        <v>RLOM Pumps</v>
      </c>
      <c r="AA311" s="172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</row>
    <row r="312" spans="1:40" ht="21.75" customHeight="1">
      <c r="A312" s="190">
        <v>3</v>
      </c>
      <c r="B312" s="190" t="s">
        <v>538</v>
      </c>
      <c r="C312" s="190">
        <v>32</v>
      </c>
      <c r="D312" s="191" t="s">
        <v>2553</v>
      </c>
      <c r="E312" s="192">
        <v>325</v>
      </c>
      <c r="F312" s="192" t="s">
        <v>2736</v>
      </c>
      <c r="G312" s="193" t="s">
        <v>2737</v>
      </c>
      <c r="H312" s="208" t="str">
        <f>HYPERLINK("http://bsdd.buildingsmart.org/#concept/details/1hJGjDJQP1$QfpOYFg3QvF","1hJGjDJQP1$QfpOYFg3QvF")</f>
        <v>1hJGjDJQP1$QfpOYFg3QvF</v>
      </c>
      <c r="I312" s="119" t="s">
        <v>2897</v>
      </c>
      <c r="J312" s="209" t="s">
        <v>3978</v>
      </c>
      <c r="K312" s="206"/>
      <c r="L312" s="247" t="s">
        <v>3979</v>
      </c>
      <c r="M312" s="198"/>
      <c r="N312" s="203" t="s">
        <v>1719</v>
      </c>
      <c r="O312" s="203" t="s">
        <v>2828</v>
      </c>
      <c r="P312" s="191" t="s">
        <v>2829</v>
      </c>
      <c r="Q312" s="203" t="s">
        <v>2830</v>
      </c>
      <c r="R312" s="203" t="s">
        <v>1724</v>
      </c>
      <c r="S312" s="203" t="s">
        <v>2833</v>
      </c>
      <c r="T312" s="203" t="s">
        <v>2902</v>
      </c>
      <c r="U312" s="198"/>
      <c r="V312" s="198"/>
      <c r="W312" s="198"/>
      <c r="X312" s="198"/>
      <c r="Y312" s="198"/>
      <c r="Z312" s="202" t="str">
        <f t="shared" si="0"/>
        <v>RLOM SpaceHeater s</v>
      </c>
      <c r="AA312" s="172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</row>
    <row r="313" spans="1:40" ht="24" customHeight="1">
      <c r="A313" s="190">
        <v>3</v>
      </c>
      <c r="B313" s="190" t="s">
        <v>538</v>
      </c>
      <c r="C313" s="190">
        <v>32</v>
      </c>
      <c r="D313" s="191" t="s">
        <v>2553</v>
      </c>
      <c r="E313" s="192">
        <v>325</v>
      </c>
      <c r="F313" s="192" t="s">
        <v>2736</v>
      </c>
      <c r="G313" s="193" t="s">
        <v>2737</v>
      </c>
      <c r="H313" s="208" t="str">
        <f>HYPERLINK("http://bsdd.buildingsmart.org/#concept/details/2GN$DdJov7iB8fXuFP1caY","2GN$DdJov7iB8fXuFP1caY")</f>
        <v>2GN$DdJov7iB8fXuFP1caY</v>
      </c>
      <c r="I313" s="119" t="s">
        <v>2914</v>
      </c>
      <c r="J313" s="209" t="s">
        <v>3980</v>
      </c>
      <c r="K313" s="206"/>
      <c r="L313" s="247" t="s">
        <v>3981</v>
      </c>
      <c r="M313" s="198"/>
      <c r="N313" s="203" t="s">
        <v>1719</v>
      </c>
      <c r="O313" s="203" t="s">
        <v>2828</v>
      </c>
      <c r="P313" s="191" t="s">
        <v>2829</v>
      </c>
      <c r="Q313" s="203" t="s">
        <v>2830</v>
      </c>
      <c r="R313" s="203" t="s">
        <v>1724</v>
      </c>
      <c r="S313" s="203" t="s">
        <v>2833</v>
      </c>
      <c r="T313" s="203" t="s">
        <v>3982</v>
      </c>
      <c r="U313" s="198"/>
      <c r="V313" s="198"/>
      <c r="W313" s="198"/>
      <c r="X313" s="198"/>
      <c r="Y313" s="198"/>
      <c r="Z313" s="202" t="str">
        <f t="shared" si="0"/>
        <v>RLOM SpaceHeater s</v>
      </c>
      <c r="AA313" s="172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</row>
    <row r="314" spans="1:40" ht="21.75" customHeight="1">
      <c r="A314" s="190">
        <v>3</v>
      </c>
      <c r="B314" s="190" t="s">
        <v>538</v>
      </c>
      <c r="C314" s="190">
        <v>32</v>
      </c>
      <c r="D314" s="191" t="s">
        <v>2553</v>
      </c>
      <c r="E314" s="192">
        <v>325</v>
      </c>
      <c r="F314" s="192" t="s">
        <v>2736</v>
      </c>
      <c r="G314" s="193" t="s">
        <v>2737</v>
      </c>
      <c r="H314" s="208" t="str">
        <f>HYPERLINK("http://bsdd.buildingsmart.org/#concept/details/3a$HzM3wL8OR4Gj9o6ovEi","3a$HzM3wL8OR4Gj9o6ovEi")</f>
        <v>3a$HzM3wL8OR4Gj9o6ovEi</v>
      </c>
      <c r="I314" s="119" t="s">
        <v>2948</v>
      </c>
      <c r="J314" s="209" t="s">
        <v>3983</v>
      </c>
      <c r="K314" s="206"/>
      <c r="L314" s="247" t="s">
        <v>3984</v>
      </c>
      <c r="M314" s="198"/>
      <c r="N314" s="203" t="s">
        <v>1719</v>
      </c>
      <c r="O314" s="203" t="s">
        <v>2828</v>
      </c>
      <c r="P314" s="191" t="s">
        <v>2829</v>
      </c>
      <c r="Q314" s="203" t="s">
        <v>2830</v>
      </c>
      <c r="R314" s="203" t="s">
        <v>1724</v>
      </c>
      <c r="S314" s="203" t="s">
        <v>2833</v>
      </c>
      <c r="T314" s="203" t="s">
        <v>2953</v>
      </c>
      <c r="U314" s="198"/>
      <c r="V314" s="198"/>
      <c r="W314" s="198"/>
      <c r="X314" s="198"/>
      <c r="Y314" s="198"/>
      <c r="Z314" s="202" t="str">
        <f t="shared" si="0"/>
        <v>RLOM SpaceHeater s</v>
      </c>
      <c r="AA314" s="172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</row>
    <row r="315" spans="1:40" ht="24" customHeight="1">
      <c r="A315" s="190">
        <v>3</v>
      </c>
      <c r="B315" s="190" t="s">
        <v>538</v>
      </c>
      <c r="C315" s="190">
        <v>32</v>
      </c>
      <c r="D315" s="191" t="s">
        <v>2553</v>
      </c>
      <c r="E315" s="192">
        <v>325</v>
      </c>
      <c r="F315" s="192" t="s">
        <v>2736</v>
      </c>
      <c r="G315" s="193" t="s">
        <v>2737</v>
      </c>
      <c r="H315" s="208" t="str">
        <f>HYPERLINK("http://bsdd.buildingsmart.org/#concept/details/1Be1IcYfHFsurEs9NBUPvT","1Be1IcYfHFsurEs9NBUPvT")</f>
        <v>1Be1IcYfHFsurEs9NBUPvT</v>
      </c>
      <c r="I315" s="119" t="s">
        <v>2961</v>
      </c>
      <c r="J315" s="209" t="s">
        <v>3985</v>
      </c>
      <c r="K315" s="206"/>
      <c r="L315" s="247" t="s">
        <v>3986</v>
      </c>
      <c r="M315" s="198"/>
      <c r="N315" s="203" t="s">
        <v>1719</v>
      </c>
      <c r="O315" s="203" t="s">
        <v>2828</v>
      </c>
      <c r="P315" s="191" t="s">
        <v>2829</v>
      </c>
      <c r="Q315" s="203" t="s">
        <v>2830</v>
      </c>
      <c r="R315" s="203" t="s">
        <v>1724</v>
      </c>
      <c r="S315" s="203" t="s">
        <v>2833</v>
      </c>
      <c r="T315" s="203" t="s">
        <v>3982</v>
      </c>
      <c r="U315" s="198"/>
      <c r="V315" s="198"/>
      <c r="W315" s="198"/>
      <c r="X315" s="198"/>
      <c r="Y315" s="198"/>
      <c r="Z315" s="202" t="str">
        <f t="shared" si="0"/>
        <v>RLOM SpaceHeater s</v>
      </c>
      <c r="AA315" s="172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</row>
    <row r="316" spans="1:40" ht="21.75" customHeight="1">
      <c r="A316" s="190">
        <v>3</v>
      </c>
      <c r="B316" s="190" t="s">
        <v>538</v>
      </c>
      <c r="C316" s="190">
        <v>32</v>
      </c>
      <c r="D316" s="191" t="s">
        <v>2553</v>
      </c>
      <c r="E316" s="192">
        <v>325</v>
      </c>
      <c r="F316" s="192" t="s">
        <v>1642</v>
      </c>
      <c r="G316" s="191" t="s">
        <v>2737</v>
      </c>
      <c r="H316" s="208" t="str">
        <f>HYPERLINK("http://bsdd.buildingsmart.org/#concept/details/1A435yS6n2AgpxK2XwIQ4l","1A435yS6n2AgpxK2XwIQ4l")</f>
        <v>1A435yS6n2AgpxK2XwIQ4l</v>
      </c>
      <c r="I316" s="119" t="s">
        <v>2281</v>
      </c>
      <c r="J316" s="209" t="s">
        <v>3890</v>
      </c>
      <c r="K316" s="206" t="s">
        <v>2282</v>
      </c>
      <c r="L316" s="247" t="s">
        <v>3977</v>
      </c>
      <c r="M316" s="198"/>
      <c r="N316" s="203" t="s">
        <v>1777</v>
      </c>
      <c r="O316" s="203" t="s">
        <v>2284</v>
      </c>
      <c r="P316" s="191" t="s">
        <v>2285</v>
      </c>
      <c r="Q316" s="203" t="s">
        <v>1779</v>
      </c>
      <c r="R316" s="203" t="s">
        <v>1780</v>
      </c>
      <c r="S316" s="203" t="s">
        <v>2287</v>
      </c>
      <c r="T316" s="199"/>
      <c r="U316" s="198"/>
      <c r="V316" s="198"/>
      <c r="W316" s="198"/>
      <c r="X316" s="198"/>
      <c r="Y316" s="198"/>
      <c r="Z316" s="202" t="str">
        <f t="shared" si="0"/>
        <v>RLOM Pumps</v>
      </c>
      <c r="AA316" s="172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</row>
    <row r="317" spans="1:40" ht="36" customHeight="1">
      <c r="A317" s="190">
        <v>3</v>
      </c>
      <c r="B317" s="190" t="s">
        <v>538</v>
      </c>
      <c r="C317" s="190">
        <v>32</v>
      </c>
      <c r="D317" s="191" t="s">
        <v>2553</v>
      </c>
      <c r="E317" s="192">
        <v>325</v>
      </c>
      <c r="F317" s="192" t="s">
        <v>2736</v>
      </c>
      <c r="G317" s="193" t="s">
        <v>2737</v>
      </c>
      <c r="H317" s="208" t="str">
        <f>HYPERLINK("http://bsdd.buildingsmart.org/#concept/details/0i9FYC6Eb9ERoFs16OIrgM","0i9FYC6Eb9ERoFs16OIrgM")</f>
        <v>0i9FYC6Eb9ERoFs16OIrgM</v>
      </c>
      <c r="I317" s="119" t="s">
        <v>2488</v>
      </c>
      <c r="J317" s="209" t="s">
        <v>3929</v>
      </c>
      <c r="K317" s="206" t="s">
        <v>2489</v>
      </c>
      <c r="L317" s="247" t="s">
        <v>3987</v>
      </c>
      <c r="M317" s="198"/>
      <c r="N317" s="203" t="s">
        <v>2490</v>
      </c>
      <c r="O317" s="203" t="s">
        <v>2493</v>
      </c>
      <c r="P317" s="191" t="s">
        <v>2495</v>
      </c>
      <c r="Q317" s="203" t="s">
        <v>2497</v>
      </c>
      <c r="R317" s="203" t="s">
        <v>3988</v>
      </c>
      <c r="S317" s="203" t="s">
        <v>2500</v>
      </c>
      <c r="T317" s="203" t="s">
        <v>2501</v>
      </c>
      <c r="U317" s="198"/>
      <c r="V317" s="198"/>
      <c r="W317" s="198"/>
      <c r="X317" s="198"/>
      <c r="Y317" s="198"/>
      <c r="Z317" s="202" t="str">
        <f t="shared" si="0"/>
        <v>RLOM Filters</v>
      </c>
      <c r="AA317" s="172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</row>
    <row r="318" spans="1:40" ht="21.75" customHeight="1">
      <c r="A318" s="190">
        <v>3</v>
      </c>
      <c r="B318" s="190" t="s">
        <v>538</v>
      </c>
      <c r="C318" s="190">
        <v>32</v>
      </c>
      <c r="D318" s="191" t="s">
        <v>2553</v>
      </c>
      <c r="E318" s="192">
        <v>325</v>
      </c>
      <c r="F318" s="192" t="s">
        <v>2736</v>
      </c>
      <c r="G318" s="193" t="s">
        <v>2737</v>
      </c>
      <c r="H318" s="208" t="str">
        <f>HYPERLINK("http://bsdd.buildingsmart.org/#concept/details/1NpvsDshD0K8qcuNlY5icK","1NpvsDshD0K8qcuNlY5icK")</f>
        <v>1NpvsDshD0K8qcuNlY5icK</v>
      </c>
      <c r="I318" s="119" t="s">
        <v>2998</v>
      </c>
      <c r="J318" s="209" t="s">
        <v>3989</v>
      </c>
      <c r="K318" s="206" t="s">
        <v>2759</v>
      </c>
      <c r="L318" s="247" t="s">
        <v>3990</v>
      </c>
      <c r="M318" s="198"/>
      <c r="N318" s="203" t="s">
        <v>3000</v>
      </c>
      <c r="O318" s="203" t="s">
        <v>3001</v>
      </c>
      <c r="P318" s="191" t="s">
        <v>3002</v>
      </c>
      <c r="Q318" s="203" t="s">
        <v>3003</v>
      </c>
      <c r="R318" s="203"/>
      <c r="S318" s="203"/>
      <c r="T318" s="203"/>
      <c r="U318" s="198"/>
      <c r="V318" s="198"/>
      <c r="W318" s="198"/>
      <c r="X318" s="198"/>
      <c r="Y318" s="198"/>
      <c r="Z318" s="202" t="str">
        <f t="shared" si="0"/>
        <v>RLOM AirToAirHeatRecoverys</v>
      </c>
      <c r="AA318" s="172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</row>
    <row r="319" spans="1:40" ht="36" customHeight="1">
      <c r="A319" s="190">
        <v>3</v>
      </c>
      <c r="B319" s="190" t="s">
        <v>538</v>
      </c>
      <c r="C319" s="190">
        <v>32</v>
      </c>
      <c r="D319" s="191" t="s">
        <v>2553</v>
      </c>
      <c r="E319" s="192">
        <v>326</v>
      </c>
      <c r="F319" s="192" t="s">
        <v>3010</v>
      </c>
      <c r="G319" s="193" t="s">
        <v>3012</v>
      </c>
      <c r="H319" s="222" t="str">
        <f>HYPERLINK("http://bsdd.buildingsmart.org/#concept/details/2bSsGb_c5FuAmROWK59BPP","2bSsGb_c5FuAmROWK59BPP")</f>
        <v>2bSsGb_c5FuAmROWK59BPP</v>
      </c>
      <c r="I319" s="120" t="s">
        <v>4971</v>
      </c>
      <c r="J319" s="195" t="s">
        <v>3991</v>
      </c>
      <c r="K319" s="191" t="s">
        <v>3014</v>
      </c>
      <c r="L319" s="249" t="s">
        <v>3992</v>
      </c>
      <c r="M319" s="203" t="s">
        <v>3016</v>
      </c>
      <c r="N319" s="192" t="s">
        <v>1027</v>
      </c>
      <c r="O319" s="192" t="s">
        <v>1032</v>
      </c>
      <c r="P319" s="206" t="s">
        <v>1033</v>
      </c>
      <c r="Q319" s="199" t="s">
        <v>1034</v>
      </c>
      <c r="R319" s="199" t="s">
        <v>1035</v>
      </c>
      <c r="S319" s="199" t="s">
        <v>1037</v>
      </c>
      <c r="T319" s="203"/>
      <c r="U319" s="198"/>
      <c r="V319" s="198"/>
      <c r="W319" s="198"/>
      <c r="X319" s="198"/>
      <c r="Y319" s="198"/>
      <c r="Z319" s="202" t="str">
        <f t="shared" si="0"/>
        <v>RLOM Coverings</v>
      </c>
      <c r="AA319" s="172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</row>
    <row r="320" spans="1:40" ht="51.75" customHeight="1">
      <c r="A320" s="190">
        <v>3</v>
      </c>
      <c r="B320" s="190" t="s">
        <v>538</v>
      </c>
      <c r="C320" s="190">
        <v>33</v>
      </c>
      <c r="D320" s="191" t="s">
        <v>3087</v>
      </c>
      <c r="E320" s="192">
        <v>331</v>
      </c>
      <c r="F320" s="192" t="s">
        <v>3089</v>
      </c>
      <c r="G320" s="191"/>
      <c r="H320" s="212" t="str">
        <f>HYPERLINK("http://bsdd.buildingsmart.org/#concept/details/3vHM9GoT0Hsm00051Mm008","3vHM9GoT0Hsm00051Mm008")</f>
        <v>3vHM9GoT0Hsm00051Mm008</v>
      </c>
      <c r="I320" s="123" t="s">
        <v>4972</v>
      </c>
      <c r="J320" s="195" t="s">
        <v>3993</v>
      </c>
      <c r="K320" s="191"/>
      <c r="L320" s="248" t="s">
        <v>3994</v>
      </c>
      <c r="M320" s="198"/>
      <c r="N320" s="203"/>
      <c r="O320" s="203"/>
      <c r="P320" s="191"/>
      <c r="Q320" s="203" t="s">
        <v>3094</v>
      </c>
      <c r="R320" s="203" t="s">
        <v>3096</v>
      </c>
      <c r="S320" s="198" t="s">
        <v>3097</v>
      </c>
      <c r="T320" s="203" t="s">
        <v>3098</v>
      </c>
      <c r="U320" s="200"/>
      <c r="V320" s="200"/>
      <c r="W320" s="226" t="s">
        <v>3995</v>
      </c>
      <c r="X320" s="226" t="s">
        <v>3996</v>
      </c>
      <c r="Y320" s="226" t="s">
        <v>3997</v>
      </c>
      <c r="Z320" s="202" t="str">
        <f t="shared" si="0"/>
        <v>RLOM FireSuppressionTerminals</v>
      </c>
      <c r="AA320" s="172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</row>
    <row r="321" spans="1:40" ht="51.75" customHeight="1">
      <c r="A321" s="190">
        <v>3</v>
      </c>
      <c r="B321" s="190" t="s">
        <v>538</v>
      </c>
      <c r="C321" s="190">
        <v>33</v>
      </c>
      <c r="D321" s="191" t="s">
        <v>3087</v>
      </c>
      <c r="E321" s="192">
        <v>331</v>
      </c>
      <c r="F321" s="192" t="s">
        <v>3089</v>
      </c>
      <c r="G321" s="191"/>
      <c r="H321" s="212" t="str">
        <f>HYPERLINK("http://bsdd.buildingsmart.org/#concept/details/1apYYGR_XBY8PZn65ZuhzD","1apYYGR_XBY8PZn65ZuhzD")</f>
        <v>1apYYGR_XBY8PZn65ZuhzD</v>
      </c>
      <c r="I321" s="123" t="s">
        <v>4973</v>
      </c>
      <c r="J321" s="195" t="s">
        <v>3998</v>
      </c>
      <c r="K321" s="191"/>
      <c r="L321" s="248" t="s">
        <v>3994</v>
      </c>
      <c r="M321" s="198"/>
      <c r="N321" s="203"/>
      <c r="O321" s="203"/>
      <c r="P321" s="191"/>
      <c r="Q321" s="203" t="s">
        <v>3094</v>
      </c>
      <c r="R321" s="203" t="s">
        <v>3096</v>
      </c>
      <c r="S321" s="198" t="s">
        <v>3097</v>
      </c>
      <c r="T321" s="203" t="s">
        <v>3105</v>
      </c>
      <c r="U321" s="200"/>
      <c r="V321" s="200"/>
      <c r="W321" s="226" t="s">
        <v>3995</v>
      </c>
      <c r="X321" s="226" t="s">
        <v>3996</v>
      </c>
      <c r="Y321" s="226" t="s">
        <v>3997</v>
      </c>
      <c r="Z321" s="202" t="str">
        <f t="shared" si="0"/>
        <v>RLOM FireSuppressionTerminals</v>
      </c>
      <c r="AA321" s="172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</row>
    <row r="322" spans="1:40" ht="51.75" customHeight="1">
      <c r="A322" s="190">
        <v>3</v>
      </c>
      <c r="B322" s="190" t="s">
        <v>538</v>
      </c>
      <c r="C322" s="190">
        <v>33</v>
      </c>
      <c r="D322" s="191" t="s">
        <v>3087</v>
      </c>
      <c r="E322" s="192">
        <v>331</v>
      </c>
      <c r="F322" s="192" t="s">
        <v>3089</v>
      </c>
      <c r="G322" s="191"/>
      <c r="H322" s="212" t="str">
        <f>HYPERLINK("http://bsdd.buildingsmart.org/#concept/details/1Dhyhqfdj6EvaOrgE3Qyxx","1Dhyhqfdj6EvaOrgE3Qyxx")</f>
        <v>1Dhyhqfdj6EvaOrgE3Qyxx</v>
      </c>
      <c r="I322" s="123" t="s">
        <v>3108</v>
      </c>
      <c r="J322" s="195" t="s">
        <v>3999</v>
      </c>
      <c r="K322" s="191"/>
      <c r="L322" s="248" t="s">
        <v>3994</v>
      </c>
      <c r="M322" s="198"/>
      <c r="N322" s="203"/>
      <c r="O322" s="203"/>
      <c r="P322" s="191"/>
      <c r="Q322" s="203" t="s">
        <v>3094</v>
      </c>
      <c r="R322" s="203" t="s">
        <v>3096</v>
      </c>
      <c r="S322" s="198" t="s">
        <v>3097</v>
      </c>
      <c r="T322" s="203"/>
      <c r="U322" s="200"/>
      <c r="V322" s="200"/>
      <c r="W322" s="226" t="s">
        <v>3995</v>
      </c>
      <c r="X322" s="226" t="s">
        <v>3996</v>
      </c>
      <c r="Y322" s="226" t="s">
        <v>3997</v>
      </c>
      <c r="Z322" s="202" t="str">
        <f t="shared" si="0"/>
        <v>RLOM FireSuppressionTerminals</v>
      </c>
      <c r="AA322" s="172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</row>
    <row r="323" spans="1:40" ht="51.75" customHeight="1">
      <c r="A323" s="190">
        <v>3</v>
      </c>
      <c r="B323" s="190" t="s">
        <v>538</v>
      </c>
      <c r="C323" s="190">
        <v>33</v>
      </c>
      <c r="D323" s="191" t="s">
        <v>3087</v>
      </c>
      <c r="E323" s="192">
        <v>331</v>
      </c>
      <c r="F323" s="192" t="s">
        <v>3089</v>
      </c>
      <c r="G323" s="191"/>
      <c r="H323" s="222" t="str">
        <f>HYPERLINK("http://bsdd.buildingsmart.org/#concept/details/28YOH6sNv4VP1XMCpCnTBS","28YOH6sNv4VP1XMCpCnTBS")</f>
        <v>28YOH6sNv4VP1XMCpCnTBS</v>
      </c>
      <c r="I323" s="123" t="s">
        <v>4974</v>
      </c>
      <c r="J323" s="195" t="s">
        <v>4000</v>
      </c>
      <c r="K323" s="191" t="s">
        <v>3125</v>
      </c>
      <c r="L323" s="250" t="str">
        <f t="shared" ref="L323:L324" ca="1" si="18">IFERROR(__xludf.DUMMYFUNCTION(GOOGLETRANSLATE(J323,"no","en")),"fire cabinets recessed with fire hose")</f>
        <v>fire cabinets recessed with fire hose</v>
      </c>
      <c r="M323" s="198"/>
      <c r="N323" s="203" t="s">
        <v>3126</v>
      </c>
      <c r="O323" s="203" t="s">
        <v>3127</v>
      </c>
      <c r="P323" s="191" t="s">
        <v>3128</v>
      </c>
      <c r="Q323" s="203" t="s">
        <v>3094</v>
      </c>
      <c r="R323" s="203" t="s">
        <v>3096</v>
      </c>
      <c r="S323" s="198" t="s">
        <v>3129</v>
      </c>
      <c r="T323" s="203" t="s">
        <v>4001</v>
      </c>
      <c r="U323" s="200"/>
      <c r="V323" s="200"/>
      <c r="W323" s="226" t="s">
        <v>3995</v>
      </c>
      <c r="X323" s="226" t="s">
        <v>3996</v>
      </c>
      <c r="Y323" s="226" t="s">
        <v>3997</v>
      </c>
      <c r="Z323" s="202" t="str">
        <f t="shared" si="0"/>
        <v>RLOM FireSuppressionTerminals</v>
      </c>
      <c r="AA323" s="172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</row>
    <row r="324" spans="1:40" ht="51.75" customHeight="1">
      <c r="A324" s="190">
        <v>3</v>
      </c>
      <c r="B324" s="190" t="s">
        <v>538</v>
      </c>
      <c r="C324" s="190">
        <v>33</v>
      </c>
      <c r="D324" s="191" t="s">
        <v>3087</v>
      </c>
      <c r="E324" s="192">
        <v>331</v>
      </c>
      <c r="F324" s="192" t="s">
        <v>3089</v>
      </c>
      <c r="G324" s="191"/>
      <c r="H324" s="222" t="str">
        <f>HYPERLINK("http://bsdd.buildingsmart.org/#concept/details/3J$ZFBpeX3uBvKwPfn9La3","3J$ZFBpeX3uBvKwPfn9La3")</f>
        <v>3J$ZFBpeX3uBvKwPfn9La3</v>
      </c>
      <c r="I324" s="123" t="s">
        <v>4975</v>
      </c>
      <c r="J324" s="195" t="s">
        <v>4002</v>
      </c>
      <c r="K324" s="191" t="s">
        <v>3139</v>
      </c>
      <c r="L324" s="250" t="str">
        <f t="shared" ca="1" si="18"/>
        <v>fire cabinets recessed with fire hose</v>
      </c>
      <c r="M324" s="198"/>
      <c r="N324" s="203" t="s">
        <v>3126</v>
      </c>
      <c r="O324" s="203" t="s">
        <v>3127</v>
      </c>
      <c r="P324" s="191" t="s">
        <v>3128</v>
      </c>
      <c r="Q324" s="203" t="s">
        <v>3094</v>
      </c>
      <c r="R324" s="203" t="s">
        <v>3096</v>
      </c>
      <c r="S324" s="198" t="s">
        <v>3129</v>
      </c>
      <c r="T324" s="203" t="s">
        <v>4003</v>
      </c>
      <c r="U324" s="200"/>
      <c r="V324" s="200"/>
      <c r="W324" s="226" t="s">
        <v>3995</v>
      </c>
      <c r="X324" s="226" t="s">
        <v>3996</v>
      </c>
      <c r="Y324" s="226" t="s">
        <v>3997</v>
      </c>
      <c r="Z324" s="202" t="str">
        <f t="shared" si="0"/>
        <v>RLOM FireSuppressionTerminals</v>
      </c>
      <c r="AA324" s="172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</row>
    <row r="325" spans="1:40" ht="43.5" customHeight="1">
      <c r="A325" s="190">
        <v>3</v>
      </c>
      <c r="B325" s="190" t="s">
        <v>538</v>
      </c>
      <c r="C325" s="190">
        <v>33</v>
      </c>
      <c r="D325" s="191" t="s">
        <v>3087</v>
      </c>
      <c r="E325" s="192">
        <v>331</v>
      </c>
      <c r="F325" s="192" t="s">
        <v>3147</v>
      </c>
      <c r="G325" s="193" t="s">
        <v>3148</v>
      </c>
      <c r="H325" s="222" t="str">
        <f>HYPERLINK("http://bsdd.buildingsmart.org/#concept/details/3vHOOEoT0Hsm00051Mm008","3vHOOEoT0Hsm00051Mm008")</f>
        <v>3vHOOEoT0Hsm00051Mm008</v>
      </c>
      <c r="I325" s="120" t="s">
        <v>3149</v>
      </c>
      <c r="J325" s="195" t="s">
        <v>4004</v>
      </c>
      <c r="K325" s="191" t="s">
        <v>3150</v>
      </c>
      <c r="L325" s="249" t="s">
        <v>4005</v>
      </c>
      <c r="M325" s="198"/>
      <c r="N325" s="203" t="s">
        <v>3126</v>
      </c>
      <c r="O325" s="203" t="s">
        <v>3152</v>
      </c>
      <c r="P325" s="191"/>
      <c r="Q325" s="203" t="s">
        <v>3094</v>
      </c>
      <c r="R325" s="203" t="s">
        <v>3096</v>
      </c>
      <c r="S325" s="203" t="s">
        <v>3153</v>
      </c>
      <c r="T325" s="203" t="s">
        <v>3155</v>
      </c>
      <c r="U325" s="198"/>
      <c r="V325" s="198"/>
      <c r="W325" s="198"/>
      <c r="X325" s="198"/>
      <c r="Y325" s="198"/>
      <c r="Z325" s="202" t="str">
        <f t="shared" si="0"/>
        <v>RLOM FireSuppressionTerminals</v>
      </c>
      <c r="AA325" s="172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</row>
    <row r="326" spans="1:40" ht="51.75" customHeight="1">
      <c r="A326" s="190">
        <v>3</v>
      </c>
      <c r="B326" s="190" t="s">
        <v>538</v>
      </c>
      <c r="C326" s="190">
        <v>33</v>
      </c>
      <c r="D326" s="191" t="s">
        <v>3087</v>
      </c>
      <c r="E326" s="192">
        <v>331</v>
      </c>
      <c r="F326" s="192" t="s">
        <v>3089</v>
      </c>
      <c r="G326" s="191"/>
      <c r="H326" s="222" t="str">
        <f>HYPERLINK("http://bsdd.buildingsmart.org/#concept/details/1MiwbD6DvCI8hl4$mP4sB7","1MiwbD6DvCI8hl4$mP4sB7")</f>
        <v>1MiwbD6DvCI8hl4$mP4sB7</v>
      </c>
      <c r="I326" s="123" t="s">
        <v>4976</v>
      </c>
      <c r="J326" s="195" t="s">
        <v>3157</v>
      </c>
      <c r="K326" s="191"/>
      <c r="L326" s="250" t="str">
        <f ca="1">IFERROR(__xludf.DUMMYFUNCTION(GOOGLETRANSLATE(J326,"no","en")),"Hose reel")</f>
        <v>Hose reel</v>
      </c>
      <c r="M326" s="198"/>
      <c r="N326" s="203" t="s">
        <v>3126</v>
      </c>
      <c r="O326" s="203" t="s">
        <v>3127</v>
      </c>
      <c r="P326" s="191" t="s">
        <v>3158</v>
      </c>
      <c r="Q326" s="203" t="s">
        <v>3094</v>
      </c>
      <c r="R326" s="203" t="s">
        <v>3096</v>
      </c>
      <c r="S326" s="203" t="s">
        <v>3153</v>
      </c>
      <c r="T326" s="203"/>
      <c r="U326" s="200"/>
      <c r="V326" s="200"/>
      <c r="W326" s="226" t="s">
        <v>3995</v>
      </c>
      <c r="X326" s="226" t="s">
        <v>3996</v>
      </c>
      <c r="Y326" s="226" t="s">
        <v>3997</v>
      </c>
      <c r="Z326" s="202" t="str">
        <f t="shared" si="0"/>
        <v>RLOM FireSuppressionTerminals</v>
      </c>
      <c r="AA326" s="172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</row>
    <row r="327" spans="1:40" ht="43.5" customHeight="1">
      <c r="A327" s="190">
        <v>3</v>
      </c>
      <c r="B327" s="190" t="s">
        <v>538</v>
      </c>
      <c r="C327" s="190">
        <v>33</v>
      </c>
      <c r="D327" s="191" t="s">
        <v>3087</v>
      </c>
      <c r="E327" s="192">
        <v>331</v>
      </c>
      <c r="F327" s="192" t="s">
        <v>3089</v>
      </c>
      <c r="G327" s="191"/>
      <c r="H327" s="222" t="str">
        <f>HYPERLINK("http://bsdd.buildingsmart.org/#concept/details/28v30WgiT9s8uF7Ynf8sUi","28v30WgiT9s8uF7Ynf8sUi")</f>
        <v>28v30WgiT9s8uF7Ynf8sUi</v>
      </c>
      <c r="I327" s="119" t="s">
        <v>4977</v>
      </c>
      <c r="J327" s="209" t="s">
        <v>4006</v>
      </c>
      <c r="K327" s="206"/>
      <c r="L327" s="249" t="s">
        <v>3338</v>
      </c>
      <c r="M327" s="198"/>
      <c r="N327" s="203" t="s">
        <v>722</v>
      </c>
      <c r="O327" s="199" t="s">
        <v>724</v>
      </c>
      <c r="P327" s="191" t="s">
        <v>726</v>
      </c>
      <c r="Q327" s="203" t="s">
        <v>809</v>
      </c>
      <c r="R327" s="203" t="s">
        <v>810</v>
      </c>
      <c r="S327" s="203" t="s">
        <v>811</v>
      </c>
      <c r="T327" s="203"/>
      <c r="U327" s="200"/>
      <c r="V327" s="200"/>
      <c r="W327" s="226"/>
      <c r="X327" s="226"/>
      <c r="Y327" s="226"/>
      <c r="Z327" s="202" t="str">
        <f t="shared" si="0"/>
        <v>RLOM PipeSegments</v>
      </c>
      <c r="AA327" s="172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</row>
    <row r="328" spans="1:40" ht="43.5" customHeight="1">
      <c r="A328" s="190">
        <v>3</v>
      </c>
      <c r="B328" s="190" t="s">
        <v>538</v>
      </c>
      <c r="C328" s="190">
        <v>33</v>
      </c>
      <c r="D328" s="191" t="s">
        <v>3087</v>
      </c>
      <c r="E328" s="192">
        <v>331</v>
      </c>
      <c r="F328" s="192" t="s">
        <v>3089</v>
      </c>
      <c r="G328" s="191"/>
      <c r="H328" s="222" t="str">
        <f>HYPERLINK("http://bsdd.buildingsmart.org/#concept/details/19YRrVu957XfD4zuVZe3iD","19YRrVu957XfD4zuVZe3iD")</f>
        <v>19YRrVu957XfD4zuVZe3iD</v>
      </c>
      <c r="I328" s="122" t="s">
        <v>4978</v>
      </c>
      <c r="J328" s="195" t="s">
        <v>4007</v>
      </c>
      <c r="K328" s="191" t="s">
        <v>3163</v>
      </c>
      <c r="L328" s="249" t="s">
        <v>3420</v>
      </c>
      <c r="M328" s="198"/>
      <c r="N328" s="203" t="s">
        <v>565</v>
      </c>
      <c r="O328" s="199" t="s">
        <v>566</v>
      </c>
      <c r="P328" s="191" t="s">
        <v>794</v>
      </c>
      <c r="Q328" s="203" t="s">
        <v>569</v>
      </c>
      <c r="R328" s="203" t="s">
        <v>571</v>
      </c>
      <c r="S328" s="203" t="s">
        <v>795</v>
      </c>
      <c r="T328" s="203" t="s">
        <v>796</v>
      </c>
      <c r="U328" s="200"/>
      <c r="V328" s="200"/>
      <c r="W328" s="226"/>
      <c r="X328" s="226"/>
      <c r="Y328" s="226"/>
      <c r="Z328" s="202" t="str">
        <f t="shared" si="0"/>
        <v>RLOM PipeFittings</v>
      </c>
      <c r="AA328" s="172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</row>
    <row r="329" spans="1:40" ht="43.5" customHeight="1">
      <c r="A329" s="190">
        <v>3</v>
      </c>
      <c r="B329" s="190" t="s">
        <v>538</v>
      </c>
      <c r="C329" s="190">
        <v>33</v>
      </c>
      <c r="D329" s="191" t="s">
        <v>3087</v>
      </c>
      <c r="E329" s="192">
        <v>331</v>
      </c>
      <c r="F329" s="192" t="s">
        <v>3089</v>
      </c>
      <c r="G329" s="191"/>
      <c r="H329" s="222" t="str">
        <f>HYPERLINK("http://bsdd.buildingsmart.org/#concept/details/0OEVZnzSr6nAYcFJFhhdP9","0OEVZnzSr6nAYcFJFhhdP9")</f>
        <v>0OEVZnzSr6nAYcFJFhhdP9</v>
      </c>
      <c r="I329" s="122" t="s">
        <v>4979</v>
      </c>
      <c r="J329" s="195" t="s">
        <v>4008</v>
      </c>
      <c r="K329" s="191"/>
      <c r="L329" s="249" t="s">
        <v>3359</v>
      </c>
      <c r="M329" s="198"/>
      <c r="N329" s="203" t="s">
        <v>565</v>
      </c>
      <c r="O329" s="199" t="s">
        <v>566</v>
      </c>
      <c r="P329" s="191" t="s">
        <v>794</v>
      </c>
      <c r="Q329" s="203" t="s">
        <v>569</v>
      </c>
      <c r="R329" s="203" t="s">
        <v>571</v>
      </c>
      <c r="S329" s="203" t="s">
        <v>795</v>
      </c>
      <c r="T329" s="203" t="s">
        <v>910</v>
      </c>
      <c r="U329" s="200"/>
      <c r="V329" s="200"/>
      <c r="W329" s="226"/>
      <c r="X329" s="226"/>
      <c r="Y329" s="226"/>
      <c r="Z329" s="202" t="str">
        <f t="shared" si="0"/>
        <v>RLOM PipeFittings</v>
      </c>
      <c r="AA329" s="172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</row>
    <row r="330" spans="1:40" ht="43.5" customHeight="1">
      <c r="A330" s="190">
        <v>3</v>
      </c>
      <c r="B330" s="190" t="s">
        <v>538</v>
      </c>
      <c r="C330" s="190">
        <v>33</v>
      </c>
      <c r="D330" s="191" t="s">
        <v>3087</v>
      </c>
      <c r="E330" s="192">
        <v>331</v>
      </c>
      <c r="F330" s="192" t="s">
        <v>3089</v>
      </c>
      <c r="G330" s="191"/>
      <c r="H330" s="222" t="str">
        <f>HYPERLINK("http://bsdd.buildingsmart.org/#concept/details/0_1uLp$45FjOqNjel4YBnY","0_1uLp$45FjOqNjel4YBnY")</f>
        <v>0_1uLp$45FjOqNjel4YBnY</v>
      </c>
      <c r="I330" s="122" t="s">
        <v>4980</v>
      </c>
      <c r="J330" s="195" t="s">
        <v>4009</v>
      </c>
      <c r="K330" s="191" t="s">
        <v>550</v>
      </c>
      <c r="L330" s="249" t="s">
        <v>3306</v>
      </c>
      <c r="M330" s="198"/>
      <c r="N330" s="203" t="s">
        <v>565</v>
      </c>
      <c r="O330" s="199" t="s">
        <v>566</v>
      </c>
      <c r="P330" s="191" t="s">
        <v>567</v>
      </c>
      <c r="Q330" s="203" t="s">
        <v>569</v>
      </c>
      <c r="R330" s="203" t="s">
        <v>571</v>
      </c>
      <c r="S330" s="203" t="s">
        <v>573</v>
      </c>
      <c r="T330" s="203"/>
      <c r="U330" s="200"/>
      <c r="V330" s="200"/>
      <c r="W330" s="226"/>
      <c r="X330" s="226"/>
      <c r="Y330" s="226"/>
      <c r="Z330" s="202" t="str">
        <f t="shared" si="0"/>
        <v>RLOM PipeFittings</v>
      </c>
      <c r="AA330" s="172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</row>
    <row r="331" spans="1:40" ht="51.75" customHeight="1">
      <c r="A331" s="190">
        <v>3</v>
      </c>
      <c r="B331" s="190" t="s">
        <v>538</v>
      </c>
      <c r="C331" s="190">
        <v>33</v>
      </c>
      <c r="D331" s="191" t="s">
        <v>3087</v>
      </c>
      <c r="E331" s="192">
        <v>331</v>
      </c>
      <c r="F331" s="192" t="s">
        <v>3089</v>
      </c>
      <c r="G331" s="191"/>
      <c r="H331" s="222" t="str">
        <f>HYPERLINK("http://bsdd.buildingsmart.org/#concept/details/07wzORmYD9ChX7cj4WKMlf","07wzORmYD9ChX7cj4WKMlf")</f>
        <v>07wzORmYD9ChX7cj4WKMlf</v>
      </c>
      <c r="I331" s="124" t="s">
        <v>4981</v>
      </c>
      <c r="J331" s="232" t="s">
        <v>4010</v>
      </c>
      <c r="K331" s="191" t="s">
        <v>3177</v>
      </c>
      <c r="L331" s="250" t="str">
        <f t="shared" ref="L331:L332" ca="1" si="19">IFERROR(__xludf.DUMMYFUNCTION(GOOGLETRANSLATE(J331,"no","en")),"Surface fire water dry arrangement with branch in closet")</f>
        <v>Surface fire water dry arrangement with branch in closet</v>
      </c>
      <c r="M331" s="210"/>
      <c r="N331" s="203"/>
      <c r="O331" s="203"/>
      <c r="P331" s="191"/>
      <c r="Q331" s="203" t="s">
        <v>3094</v>
      </c>
      <c r="R331" s="203" t="s">
        <v>3096</v>
      </c>
      <c r="S331" s="198" t="s">
        <v>3178</v>
      </c>
      <c r="T331" s="203"/>
      <c r="U331" s="200"/>
      <c r="V331" s="200"/>
      <c r="W331" s="226" t="s">
        <v>3995</v>
      </c>
      <c r="X331" s="226" t="s">
        <v>3996</v>
      </c>
      <c r="Y331" s="226" t="s">
        <v>3997</v>
      </c>
      <c r="Z331" s="202" t="str">
        <f t="shared" si="0"/>
        <v>RLOM FireSuppressionTerminals</v>
      </c>
      <c r="AA331" s="172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</row>
    <row r="332" spans="1:40" ht="51.75" customHeight="1">
      <c r="A332" s="190">
        <v>3</v>
      </c>
      <c r="B332" s="190" t="s">
        <v>538</v>
      </c>
      <c r="C332" s="190">
        <v>33</v>
      </c>
      <c r="D332" s="191" t="s">
        <v>3087</v>
      </c>
      <c r="E332" s="192">
        <v>331</v>
      </c>
      <c r="F332" s="192" t="s">
        <v>3089</v>
      </c>
      <c r="G332" s="191"/>
      <c r="H332" s="222" t="str">
        <f>HYPERLINK("http://bsdd.buildingsmart.org/#concept/details/0gVdDsgq52CeSgvdV8h8OM","0gVdDsgq52CeSgvdV8h8OM")</f>
        <v>0gVdDsgq52CeSgvdV8h8OM</v>
      </c>
      <c r="I332" s="124" t="s">
        <v>4982</v>
      </c>
      <c r="J332" s="232" t="s">
        <v>4011</v>
      </c>
      <c r="K332" s="191" t="s">
        <v>3177</v>
      </c>
      <c r="L332" s="250" t="str">
        <f t="shared" ca="1" si="19"/>
        <v>Surface fire water dry arrangement with branch in closet</v>
      </c>
      <c r="M332" s="210"/>
      <c r="N332" s="203"/>
      <c r="O332" s="203"/>
      <c r="P332" s="191"/>
      <c r="Q332" s="203" t="s">
        <v>3094</v>
      </c>
      <c r="R332" s="203" t="s">
        <v>3096</v>
      </c>
      <c r="S332" s="198" t="s">
        <v>3178</v>
      </c>
      <c r="T332" s="203"/>
      <c r="U332" s="200"/>
      <c r="V332" s="200"/>
      <c r="W332" s="226" t="s">
        <v>3995</v>
      </c>
      <c r="X332" s="226" t="s">
        <v>3996</v>
      </c>
      <c r="Y332" s="226" t="s">
        <v>3997</v>
      </c>
      <c r="Z332" s="202" t="str">
        <f t="shared" si="0"/>
        <v>RLOM FireSuppressionTerminals</v>
      </c>
      <c r="AA332" s="172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</row>
    <row r="333" spans="1:40" ht="43.5" customHeight="1">
      <c r="A333" s="190">
        <v>3</v>
      </c>
      <c r="B333" s="190" t="s">
        <v>538</v>
      </c>
      <c r="C333" s="190">
        <v>33</v>
      </c>
      <c r="D333" s="191" t="s">
        <v>3087</v>
      </c>
      <c r="E333" s="192">
        <v>331</v>
      </c>
      <c r="F333" s="192" t="s">
        <v>3147</v>
      </c>
      <c r="G333" s="193" t="s">
        <v>3148</v>
      </c>
      <c r="H333" s="222" t="str">
        <f>HYPERLINK("http://bsdd.buildingsmart.org/#concept/details/3ibU7JYULAQe7uODebcFI4","3ibU7JYULAQe7uODebcFI4")</f>
        <v>3ibU7JYULAQe7uODebcFI4</v>
      </c>
      <c r="I333" s="120" t="s">
        <v>4983</v>
      </c>
      <c r="J333" s="195" t="s">
        <v>4012</v>
      </c>
      <c r="K333" s="191"/>
      <c r="L333" s="249" t="s">
        <v>4013</v>
      </c>
      <c r="M333" s="198"/>
      <c r="N333" s="203" t="s">
        <v>1428</v>
      </c>
      <c r="O333" s="203" t="s">
        <v>1435</v>
      </c>
      <c r="P333" s="191" t="s">
        <v>1436</v>
      </c>
      <c r="Q333" s="203" t="s">
        <v>986</v>
      </c>
      <c r="R333" s="203" t="s">
        <v>987</v>
      </c>
      <c r="S333" s="203" t="s">
        <v>1641</v>
      </c>
      <c r="T333" s="203"/>
      <c r="U333" s="198"/>
      <c r="V333" s="198"/>
      <c r="W333" s="198"/>
      <c r="X333" s="198"/>
      <c r="Y333" s="198"/>
      <c r="Z333" s="202" t="str">
        <f t="shared" si="0"/>
        <v>RLOM Valves</v>
      </c>
      <c r="AA333" s="172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</row>
    <row r="334" spans="1:40" ht="33" customHeight="1">
      <c r="A334" s="190">
        <v>3</v>
      </c>
      <c r="B334" s="190" t="s">
        <v>538</v>
      </c>
      <c r="C334" s="190">
        <v>33</v>
      </c>
      <c r="D334" s="191" t="s">
        <v>3087</v>
      </c>
      <c r="E334" s="192">
        <v>332</v>
      </c>
      <c r="F334" s="192" t="s">
        <v>3187</v>
      </c>
      <c r="G334" s="191" t="s">
        <v>3148</v>
      </c>
      <c r="H334" s="222" t="str">
        <f>HYPERLINK("http://bsdd.buildingsmart.org/#concept/details/3vHIiyoT0Hsm00051Mm008","3vHIiyoT0Hsm00051Mm008")</f>
        <v>3vHIiyoT0Hsm00051Mm008</v>
      </c>
      <c r="I334" s="120" t="s">
        <v>4984</v>
      </c>
      <c r="J334" s="195" t="s">
        <v>4014</v>
      </c>
      <c r="K334" s="191" t="s">
        <v>3014</v>
      </c>
      <c r="L334" s="249" t="s">
        <v>4015</v>
      </c>
      <c r="M334" s="203" t="s">
        <v>3016</v>
      </c>
      <c r="N334" s="192" t="s">
        <v>1027</v>
      </c>
      <c r="O334" s="192" t="s">
        <v>1032</v>
      </c>
      <c r="P334" s="206" t="s">
        <v>1033</v>
      </c>
      <c r="Q334" s="199" t="s">
        <v>1034</v>
      </c>
      <c r="R334" s="199" t="s">
        <v>1035</v>
      </c>
      <c r="S334" s="199" t="s">
        <v>1037</v>
      </c>
      <c r="T334" s="203"/>
      <c r="U334" s="198"/>
      <c r="V334" s="198"/>
      <c r="W334" s="198"/>
      <c r="X334" s="198"/>
      <c r="Y334" s="198"/>
      <c r="Z334" s="202" t="str">
        <f t="shared" si="0"/>
        <v>RLOM Coverings</v>
      </c>
      <c r="AA334" s="172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</row>
    <row r="335" spans="1:40" ht="33" customHeight="1">
      <c r="A335" s="190">
        <v>3</v>
      </c>
      <c r="B335" s="190" t="s">
        <v>538</v>
      </c>
      <c r="C335" s="190">
        <v>33</v>
      </c>
      <c r="D335" s="191" t="s">
        <v>3087</v>
      </c>
      <c r="E335" s="192">
        <v>332</v>
      </c>
      <c r="F335" s="192" t="s">
        <v>3187</v>
      </c>
      <c r="G335" s="191" t="s">
        <v>3148</v>
      </c>
      <c r="H335" s="222" t="str">
        <f>HYPERLINK("http://bsdd.buildingsmart.org/#concept/details/3vHM$ooT0Hsm00051Mm008","3vHM$ooT0Hsm00051Mm008")</f>
        <v>3vHM$ooT0Hsm00051Mm008</v>
      </c>
      <c r="I335" s="120" t="s">
        <v>4985</v>
      </c>
      <c r="J335" s="195" t="s">
        <v>4016</v>
      </c>
      <c r="K335" s="191"/>
      <c r="L335" s="249" t="s">
        <v>4017</v>
      </c>
      <c r="M335" s="198"/>
      <c r="N335" s="203" t="s">
        <v>3191</v>
      </c>
      <c r="O335" s="203" t="s">
        <v>3192</v>
      </c>
      <c r="P335" s="191" t="s">
        <v>3193</v>
      </c>
      <c r="Q335" s="203" t="s">
        <v>986</v>
      </c>
      <c r="R335" s="203" t="s">
        <v>987</v>
      </c>
      <c r="S335" s="203" t="s">
        <v>3194</v>
      </c>
      <c r="T335" s="203"/>
      <c r="U335" s="198"/>
      <c r="V335" s="198"/>
      <c r="W335" s="198"/>
      <c r="X335" s="198"/>
      <c r="Y335" s="198"/>
      <c r="Z335" s="202" t="str">
        <f t="shared" si="0"/>
        <v>RLOM Valves</v>
      </c>
      <c r="AA335" s="172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</row>
    <row r="336" spans="1:40" ht="33" customHeight="1">
      <c r="A336" s="190">
        <v>3</v>
      </c>
      <c r="B336" s="190" t="s">
        <v>538</v>
      </c>
      <c r="C336" s="190">
        <v>33</v>
      </c>
      <c r="D336" s="191" t="s">
        <v>3087</v>
      </c>
      <c r="E336" s="192">
        <v>332</v>
      </c>
      <c r="F336" s="192" t="s">
        <v>3187</v>
      </c>
      <c r="G336" s="191" t="s">
        <v>3148</v>
      </c>
      <c r="H336" s="222" t="str">
        <f>HYPERLINK("http://bsdd.buildingsmart.org/#concept/details/1jO_I4ccj8oBkZPQnSutDz","1jO_I4ccj8oBkZPQnSutDz")</f>
        <v>1jO_I4ccj8oBkZPQnSutDz</v>
      </c>
      <c r="I336" s="119" t="s">
        <v>4986</v>
      </c>
      <c r="J336" s="209" t="s">
        <v>4018</v>
      </c>
      <c r="K336" s="206"/>
      <c r="L336" s="249" t="s">
        <v>3338</v>
      </c>
      <c r="M336" s="198"/>
      <c r="N336" s="203" t="s">
        <v>722</v>
      </c>
      <c r="O336" s="199" t="s">
        <v>724</v>
      </c>
      <c r="P336" s="191" t="s">
        <v>726</v>
      </c>
      <c r="Q336" s="203" t="s">
        <v>809</v>
      </c>
      <c r="R336" s="203" t="s">
        <v>810</v>
      </c>
      <c r="S336" s="203" t="s">
        <v>811</v>
      </c>
      <c r="T336" s="203"/>
      <c r="U336" s="198"/>
      <c r="V336" s="198"/>
      <c r="W336" s="198"/>
      <c r="X336" s="198"/>
      <c r="Y336" s="198"/>
      <c r="Z336" s="202" t="str">
        <f t="shared" si="0"/>
        <v>RLOM PipeSegments</v>
      </c>
      <c r="AA336" s="172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</row>
    <row r="337" spans="1:40" ht="33" customHeight="1">
      <c r="A337" s="190">
        <v>3</v>
      </c>
      <c r="B337" s="190" t="s">
        <v>538</v>
      </c>
      <c r="C337" s="190">
        <v>33</v>
      </c>
      <c r="D337" s="191" t="s">
        <v>3087</v>
      </c>
      <c r="E337" s="192">
        <v>332</v>
      </c>
      <c r="F337" s="192" t="s">
        <v>3187</v>
      </c>
      <c r="G337" s="191" t="s">
        <v>3148</v>
      </c>
      <c r="H337" s="222" t="str">
        <f>HYPERLINK("http://bsdd.buildingsmart.org/#concept/details/1eb2wBi0TDTA9_QwTlGyeu","1eb2wBi0TDTA9_QwTlGyeu")</f>
        <v>1eb2wBi0TDTA9_QwTlGyeu</v>
      </c>
      <c r="I337" s="122" t="s">
        <v>4987</v>
      </c>
      <c r="J337" s="195" t="s">
        <v>4019</v>
      </c>
      <c r="K337" s="191" t="s">
        <v>3199</v>
      </c>
      <c r="L337" s="249" t="s">
        <v>3420</v>
      </c>
      <c r="M337" s="198"/>
      <c r="N337" s="203" t="s">
        <v>565</v>
      </c>
      <c r="O337" s="199" t="s">
        <v>566</v>
      </c>
      <c r="P337" s="191" t="s">
        <v>794</v>
      </c>
      <c r="Q337" s="203" t="s">
        <v>569</v>
      </c>
      <c r="R337" s="203" t="s">
        <v>571</v>
      </c>
      <c r="S337" s="203" t="s">
        <v>795</v>
      </c>
      <c r="T337" s="203" t="s">
        <v>796</v>
      </c>
      <c r="U337" s="198"/>
      <c r="V337" s="198"/>
      <c r="W337" s="198"/>
      <c r="X337" s="198"/>
      <c r="Y337" s="198"/>
      <c r="Z337" s="202" t="str">
        <f t="shared" si="0"/>
        <v>RLOM PipeFittings</v>
      </c>
      <c r="AA337" s="172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</row>
    <row r="338" spans="1:40" ht="33" customHeight="1">
      <c r="A338" s="190">
        <v>3</v>
      </c>
      <c r="B338" s="190" t="s">
        <v>538</v>
      </c>
      <c r="C338" s="190">
        <v>33</v>
      </c>
      <c r="D338" s="191" t="s">
        <v>3087</v>
      </c>
      <c r="E338" s="192">
        <v>332</v>
      </c>
      <c r="F338" s="192" t="s">
        <v>3187</v>
      </c>
      <c r="G338" s="191" t="s">
        <v>3148</v>
      </c>
      <c r="H338" s="222" t="str">
        <f>HYPERLINK("http://bsdd.buildingsmart.org/#concept/details/3wqWhOhfnDavKUJWTvTalO","3wqWhOhfnDavKUJWTvTalO")</f>
        <v>3wqWhOhfnDavKUJWTvTalO</v>
      </c>
      <c r="I338" s="122" t="s">
        <v>4988</v>
      </c>
      <c r="J338" s="195" t="s">
        <v>4020</v>
      </c>
      <c r="K338" s="191"/>
      <c r="L338" s="249" t="s">
        <v>3359</v>
      </c>
      <c r="M338" s="198"/>
      <c r="N338" s="203" t="s">
        <v>565</v>
      </c>
      <c r="O338" s="199" t="s">
        <v>566</v>
      </c>
      <c r="P338" s="191" t="s">
        <v>794</v>
      </c>
      <c r="Q338" s="203" t="s">
        <v>569</v>
      </c>
      <c r="R338" s="203" t="s">
        <v>571</v>
      </c>
      <c r="S338" s="203" t="s">
        <v>795</v>
      </c>
      <c r="T338" s="203" t="s">
        <v>910</v>
      </c>
      <c r="U338" s="198"/>
      <c r="V338" s="198"/>
      <c r="W338" s="198"/>
      <c r="X338" s="198"/>
      <c r="Y338" s="198"/>
      <c r="Z338" s="202" t="str">
        <f t="shared" si="0"/>
        <v>RLOM PipeFittings</v>
      </c>
      <c r="AA338" s="172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</row>
    <row r="339" spans="1:40" ht="33" customHeight="1">
      <c r="A339" s="190">
        <v>3</v>
      </c>
      <c r="B339" s="190" t="s">
        <v>538</v>
      </c>
      <c r="C339" s="190">
        <v>33</v>
      </c>
      <c r="D339" s="191" t="s">
        <v>3087</v>
      </c>
      <c r="E339" s="192">
        <v>332</v>
      </c>
      <c r="F339" s="192" t="s">
        <v>3187</v>
      </c>
      <c r="G339" s="191" t="s">
        <v>3148</v>
      </c>
      <c r="H339" s="222" t="str">
        <f>HYPERLINK("http://bsdd.buildingsmart.org/#concept/details/2Wxblu6ePDPQ1joWCcVscx","2Wxblu6ePDPQ1joWCcVscx")</f>
        <v>2Wxblu6ePDPQ1joWCcVscx</v>
      </c>
      <c r="I339" s="122" t="s">
        <v>4989</v>
      </c>
      <c r="J339" s="195" t="s">
        <v>4021</v>
      </c>
      <c r="K339" s="191" t="s">
        <v>550</v>
      </c>
      <c r="L339" s="249" t="s">
        <v>3306</v>
      </c>
      <c r="M339" s="198"/>
      <c r="N339" s="203" t="s">
        <v>565</v>
      </c>
      <c r="O339" s="199" t="s">
        <v>566</v>
      </c>
      <c r="P339" s="191" t="s">
        <v>567</v>
      </c>
      <c r="Q339" s="203" t="s">
        <v>569</v>
      </c>
      <c r="R339" s="203" t="s">
        <v>571</v>
      </c>
      <c r="S339" s="203" t="s">
        <v>573</v>
      </c>
      <c r="T339" s="203"/>
      <c r="U339" s="198"/>
      <c r="V339" s="198"/>
      <c r="W339" s="198"/>
      <c r="X339" s="198"/>
      <c r="Y339" s="198"/>
      <c r="Z339" s="202" t="str">
        <f t="shared" si="0"/>
        <v>RLOM PipeFittings</v>
      </c>
      <c r="AA339" s="172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</row>
    <row r="340" spans="1:40" ht="33" customHeight="1">
      <c r="A340" s="190">
        <v>3</v>
      </c>
      <c r="B340" s="190" t="s">
        <v>538</v>
      </c>
      <c r="C340" s="190">
        <v>33</v>
      </c>
      <c r="D340" s="191" t="s">
        <v>3087</v>
      </c>
      <c r="E340" s="192">
        <v>332</v>
      </c>
      <c r="F340" s="192" t="s">
        <v>3187</v>
      </c>
      <c r="G340" s="191" t="s">
        <v>3148</v>
      </c>
      <c r="H340" s="222" t="str">
        <f>HYPERLINK("http://bsdd.buildingsmart.org/#concept/details/3vHZ6UoT0Hsm00051Mm008","3vHZ6UoT0Hsm00051Mm008")</f>
        <v>3vHZ6UoT0Hsm00051Mm008</v>
      </c>
      <c r="I340" s="120" t="s">
        <v>3206</v>
      </c>
      <c r="J340" s="195" t="s">
        <v>4022</v>
      </c>
      <c r="K340" s="191"/>
      <c r="L340" s="249" t="s">
        <v>4005</v>
      </c>
      <c r="M340" s="198"/>
      <c r="N340" s="203"/>
      <c r="O340" s="203"/>
      <c r="P340" s="191"/>
      <c r="Q340" s="203" t="s">
        <v>3207</v>
      </c>
      <c r="R340" s="203"/>
      <c r="S340" s="203"/>
      <c r="T340" s="203"/>
      <c r="U340" s="198"/>
      <c r="V340" s="198"/>
      <c r="W340" s="198"/>
      <c r="X340" s="198"/>
      <c r="Y340" s="198"/>
      <c r="Z340" s="202" t="str">
        <f t="shared" si="0"/>
        <v>RLOM FlowTerminals</v>
      </c>
      <c r="AA340" s="172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</row>
    <row r="341" spans="1:40" ht="64.5" customHeight="1">
      <c r="A341" s="190">
        <v>3</v>
      </c>
      <c r="B341" s="190" t="s">
        <v>538</v>
      </c>
      <c r="C341" s="190">
        <v>33</v>
      </c>
      <c r="D341" s="191" t="s">
        <v>3087</v>
      </c>
      <c r="E341" s="192">
        <v>332</v>
      </c>
      <c r="F341" s="192" t="s">
        <v>3187</v>
      </c>
      <c r="G341" s="191" t="s">
        <v>3148</v>
      </c>
      <c r="H341" s="222" t="str">
        <f>HYPERLINK("http://bsdd.buildingsmart.org/#concept/details/2iP7GRMgHEhAryeUn5G$DP","2iP7GRMgHEhAryeUn5G$DP")</f>
        <v>2iP7GRMgHEhAryeUn5G$DP</v>
      </c>
      <c r="I341" s="123" t="s">
        <v>3208</v>
      </c>
      <c r="J341" s="195" t="s">
        <v>4023</v>
      </c>
      <c r="K341" s="191" t="s">
        <v>3209</v>
      </c>
      <c r="L341" s="250" t="str">
        <f t="shared" ref="L341:L343" ca="1" si="20">IFERROR(__xludf.DUMMYFUNCTION(GOOGLETRANSLATE(J341,"no","en")),"sprinkler hanging ceiling")</f>
        <v>sprinkler hanging ceiling</v>
      </c>
      <c r="M341" s="198"/>
      <c r="N341" s="203" t="s">
        <v>1905</v>
      </c>
      <c r="O341" s="203" t="s">
        <v>1906</v>
      </c>
      <c r="P341" s="191" t="s">
        <v>1909</v>
      </c>
      <c r="Q341" s="203" t="s">
        <v>3094</v>
      </c>
      <c r="R341" s="203" t="s">
        <v>3096</v>
      </c>
      <c r="S341" s="198" t="s">
        <v>3210</v>
      </c>
      <c r="T341" s="203" t="s">
        <v>3211</v>
      </c>
      <c r="U341" s="200"/>
      <c r="V341" s="200"/>
      <c r="W341" s="226" t="s">
        <v>3995</v>
      </c>
      <c r="X341" s="226" t="s">
        <v>4024</v>
      </c>
      <c r="Y341" s="226" t="s">
        <v>3997</v>
      </c>
      <c r="Z341" s="202" t="str">
        <f t="shared" si="0"/>
        <v>RLOM FireSuppressionTerminals</v>
      </c>
      <c r="AA341" s="172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</row>
    <row r="342" spans="1:40" ht="64.5" customHeight="1">
      <c r="A342" s="190">
        <v>3</v>
      </c>
      <c r="B342" s="190" t="s">
        <v>538</v>
      </c>
      <c r="C342" s="190">
        <v>33</v>
      </c>
      <c r="D342" s="191" t="s">
        <v>3087</v>
      </c>
      <c r="E342" s="192">
        <v>332</v>
      </c>
      <c r="F342" s="192" t="s">
        <v>3187</v>
      </c>
      <c r="G342" s="191" t="s">
        <v>3148</v>
      </c>
      <c r="H342" s="222" t="str">
        <f>HYPERLINK("http://bsdd.buildingsmart.org/#concept/details/2AgqgLvuvA0u__2RiHk94m","2AgqgLvuvA0u__2RiHk94m")</f>
        <v>2AgqgLvuvA0u__2RiHk94m</v>
      </c>
      <c r="I342" s="123" t="s">
        <v>3216</v>
      </c>
      <c r="J342" s="195" t="s">
        <v>4025</v>
      </c>
      <c r="K342" s="191" t="s">
        <v>3209</v>
      </c>
      <c r="L342" s="250" t="str">
        <f t="shared" ca="1" si="20"/>
        <v>sprinkler hanging ceiling</v>
      </c>
      <c r="M342" s="198"/>
      <c r="N342" s="203" t="s">
        <v>1905</v>
      </c>
      <c r="O342" s="203" t="s">
        <v>1906</v>
      </c>
      <c r="P342" s="191" t="s">
        <v>1909</v>
      </c>
      <c r="Q342" s="203" t="s">
        <v>3094</v>
      </c>
      <c r="R342" s="203" t="s">
        <v>3096</v>
      </c>
      <c r="S342" s="198" t="s">
        <v>3210</v>
      </c>
      <c r="T342" s="203" t="s">
        <v>4026</v>
      </c>
      <c r="U342" s="200"/>
      <c r="V342" s="200"/>
      <c r="W342" s="226" t="s">
        <v>3995</v>
      </c>
      <c r="X342" s="226" t="s">
        <v>4024</v>
      </c>
      <c r="Y342" s="226" t="s">
        <v>3997</v>
      </c>
      <c r="Z342" s="202" t="str">
        <f t="shared" si="0"/>
        <v>RLOM FireSuppressionTerminals</v>
      </c>
      <c r="AA342" s="172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</row>
    <row r="343" spans="1:40" ht="64.5" customHeight="1">
      <c r="A343" s="190">
        <v>3</v>
      </c>
      <c r="B343" s="190" t="s">
        <v>538</v>
      </c>
      <c r="C343" s="190">
        <v>33</v>
      </c>
      <c r="D343" s="191" t="s">
        <v>3087</v>
      </c>
      <c r="E343" s="192">
        <v>332</v>
      </c>
      <c r="F343" s="192" t="s">
        <v>3187</v>
      </c>
      <c r="G343" s="191" t="s">
        <v>3148</v>
      </c>
      <c r="H343" s="222" t="str">
        <f>HYPERLINK("http://bsdd.buildingsmart.org/#concept/details/3oM06ehTH28wstwKmjtqX8","3oM06ehTH28wstwKmjtqX8")</f>
        <v>3oM06ehTH28wstwKmjtqX8</v>
      </c>
      <c r="I343" s="123" t="s">
        <v>3222</v>
      </c>
      <c r="J343" s="195" t="s">
        <v>4027</v>
      </c>
      <c r="K343" s="191" t="s">
        <v>3209</v>
      </c>
      <c r="L343" s="250" t="str">
        <f t="shared" ca="1" si="20"/>
        <v>sprinkler hanging ceiling</v>
      </c>
      <c r="M343" s="198"/>
      <c r="N343" s="203" t="s">
        <v>1905</v>
      </c>
      <c r="O343" s="203" t="s">
        <v>1906</v>
      </c>
      <c r="P343" s="191" t="s">
        <v>1909</v>
      </c>
      <c r="Q343" s="203" t="s">
        <v>3094</v>
      </c>
      <c r="R343" s="203" t="s">
        <v>3096</v>
      </c>
      <c r="S343" s="198" t="s">
        <v>3210</v>
      </c>
      <c r="T343" s="203" t="s">
        <v>3223</v>
      </c>
      <c r="U343" s="200"/>
      <c r="V343" s="200"/>
      <c r="W343" s="226" t="s">
        <v>3995</v>
      </c>
      <c r="X343" s="226" t="s">
        <v>4024</v>
      </c>
      <c r="Y343" s="226" t="s">
        <v>3997</v>
      </c>
      <c r="Z343" s="202" t="str">
        <f t="shared" si="0"/>
        <v>RLOM FireSuppressionTerminals</v>
      </c>
      <c r="AA343" s="172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</row>
    <row r="344" spans="1:40" ht="64.5" customHeight="1">
      <c r="A344" s="190">
        <v>3</v>
      </c>
      <c r="B344" s="190" t="s">
        <v>538</v>
      </c>
      <c r="C344" s="190">
        <v>33</v>
      </c>
      <c r="D344" s="191" t="s">
        <v>3087</v>
      </c>
      <c r="E344" s="192">
        <v>332</v>
      </c>
      <c r="F344" s="192" t="s">
        <v>3187</v>
      </c>
      <c r="G344" s="191" t="s">
        <v>3148</v>
      </c>
      <c r="H344" s="222" t="str">
        <f>HYPERLINK("http://bsdd.buildingsmart.org/#concept/details/3fWm9cRAL9wAp7VrSU64$L","3fWm9cRAL9wAp7VrSU64$L")</f>
        <v>3fWm9cRAL9wAp7VrSU64$L</v>
      </c>
      <c r="I344" s="123" t="s">
        <v>3226</v>
      </c>
      <c r="J344" s="195" t="s">
        <v>4028</v>
      </c>
      <c r="K344" s="191" t="s">
        <v>3209</v>
      </c>
      <c r="L344" s="250" t="s">
        <v>4029</v>
      </c>
      <c r="M344" s="198"/>
      <c r="N344" s="203" t="s">
        <v>1905</v>
      </c>
      <c r="O344" s="203" t="s">
        <v>1906</v>
      </c>
      <c r="P344" s="191" t="s">
        <v>1909</v>
      </c>
      <c r="Q344" s="203" t="s">
        <v>3094</v>
      </c>
      <c r="R344" s="203" t="s">
        <v>3096</v>
      </c>
      <c r="S344" s="198" t="s">
        <v>3210</v>
      </c>
      <c r="T344" s="203" t="s">
        <v>4030</v>
      </c>
      <c r="U344" s="200"/>
      <c r="V344" s="200"/>
      <c r="W344" s="226" t="s">
        <v>3995</v>
      </c>
      <c r="X344" s="226" t="s">
        <v>4024</v>
      </c>
      <c r="Y344" s="226" t="s">
        <v>3997</v>
      </c>
      <c r="Z344" s="202" t="str">
        <f t="shared" si="0"/>
        <v>RLOM FireSuppressionTerminals</v>
      </c>
      <c r="AA344" s="172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</row>
    <row r="345" spans="1:40" ht="64.5" customHeight="1">
      <c r="A345" s="190">
        <v>3</v>
      </c>
      <c r="B345" s="190" t="s">
        <v>538</v>
      </c>
      <c r="C345" s="190">
        <v>33</v>
      </c>
      <c r="D345" s="191" t="s">
        <v>3087</v>
      </c>
      <c r="E345" s="192">
        <v>332</v>
      </c>
      <c r="F345" s="192" t="s">
        <v>3187</v>
      </c>
      <c r="G345" s="191" t="s">
        <v>3148</v>
      </c>
      <c r="H345" s="222" t="str">
        <f>HYPERLINK("http://bsdd.buildingsmart.org/#concept/details/3RCy8dH$vFoP4x$5hJdcq2","3RCy8dH$vFoP4x$5hJdcq2")</f>
        <v>3RCy8dH$vFoP4x$5hJdcq2</v>
      </c>
      <c r="I345" s="123" t="s">
        <v>3228</v>
      </c>
      <c r="J345" s="195" t="s">
        <v>4031</v>
      </c>
      <c r="K345" s="191" t="s">
        <v>3209</v>
      </c>
      <c r="L345" s="250" t="s">
        <v>4032</v>
      </c>
      <c r="M345" s="198"/>
      <c r="N345" s="203" t="s">
        <v>1905</v>
      </c>
      <c r="O345" s="203" t="s">
        <v>1906</v>
      </c>
      <c r="P345" s="191" t="s">
        <v>1909</v>
      </c>
      <c r="Q345" s="203" t="s">
        <v>3094</v>
      </c>
      <c r="R345" s="203" t="s">
        <v>3096</v>
      </c>
      <c r="S345" s="198" t="s">
        <v>3210</v>
      </c>
      <c r="T345" s="203" t="s">
        <v>3229</v>
      </c>
      <c r="U345" s="200"/>
      <c r="V345" s="200"/>
      <c r="W345" s="226" t="s">
        <v>3995</v>
      </c>
      <c r="X345" s="226" t="s">
        <v>4024</v>
      </c>
      <c r="Y345" s="226" t="s">
        <v>3997</v>
      </c>
      <c r="Z345" s="202" t="str">
        <f t="shared" si="0"/>
        <v>RLOM FireSuppressionTerminals</v>
      </c>
      <c r="AA345" s="172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</row>
    <row r="346" spans="1:40" ht="33" customHeight="1">
      <c r="A346" s="190">
        <v>3</v>
      </c>
      <c r="B346" s="190" t="s">
        <v>538</v>
      </c>
      <c r="C346" s="190">
        <v>33</v>
      </c>
      <c r="D346" s="191" t="s">
        <v>3087</v>
      </c>
      <c r="E346" s="192">
        <v>333</v>
      </c>
      <c r="F346" s="192" t="s">
        <v>3232</v>
      </c>
      <c r="G346" s="191"/>
      <c r="H346" s="222" t="str">
        <f>HYPERLINK("http://bsdd.buildingsmart.org/#concept/details/3Ae1w0qUOHuO00025QrE$V","3Ae1w0qUOHuO00025QrE$V")</f>
        <v>3Ae1w0qUOHuO00025QrE$V</v>
      </c>
      <c r="I346" s="123" t="s">
        <v>4976</v>
      </c>
      <c r="J346" s="195" t="s">
        <v>4033</v>
      </c>
      <c r="K346" s="191"/>
      <c r="L346" s="250" t="str">
        <f ca="1">IFERROR(__xludf.DUMMYFUNCTION(GOOGLETRANSLATE(J346,"no","en")),"hose reel")</f>
        <v>hose reel</v>
      </c>
      <c r="M346" s="198"/>
      <c r="N346" s="203"/>
      <c r="O346" s="203"/>
      <c r="P346" s="191"/>
      <c r="Q346" s="203" t="s">
        <v>3094</v>
      </c>
      <c r="R346" s="203" t="s">
        <v>3233</v>
      </c>
      <c r="S346" s="198" t="s">
        <v>3153</v>
      </c>
      <c r="T346" s="203"/>
      <c r="U346" s="200"/>
      <c r="V346" s="200"/>
      <c r="W346" s="226"/>
      <c r="X346" s="226"/>
      <c r="Y346" s="226"/>
      <c r="Z346" s="202" t="str">
        <f t="shared" si="0"/>
        <v>RLOM FireSuppressionTerminals</v>
      </c>
      <c r="AA346" s="172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</row>
    <row r="347" spans="1:40" ht="33" customHeight="1">
      <c r="A347" s="190">
        <v>3</v>
      </c>
      <c r="B347" s="190" t="s">
        <v>538</v>
      </c>
      <c r="C347" s="190">
        <v>33</v>
      </c>
      <c r="D347" s="191" t="s">
        <v>3087</v>
      </c>
      <c r="E347" s="192">
        <v>333</v>
      </c>
      <c r="F347" s="192" t="s">
        <v>3232</v>
      </c>
      <c r="G347" s="191" t="s">
        <v>3148</v>
      </c>
      <c r="H347" s="222" t="str">
        <f>HYPERLINK("http://bsdd.buildingsmart.org/#concept/details/3vHIiyoT0Hsm00051Mm008","3vHIiyoT0Hsm00051Mm008")</f>
        <v>3vHIiyoT0Hsm00051Mm008</v>
      </c>
      <c r="I347" s="120" t="s">
        <v>4990</v>
      </c>
      <c r="J347" s="195" t="s">
        <v>4034</v>
      </c>
      <c r="K347" s="191" t="s">
        <v>3014</v>
      </c>
      <c r="L347" s="249" t="s">
        <v>4015</v>
      </c>
      <c r="M347" s="203" t="s">
        <v>3016</v>
      </c>
      <c r="N347" s="192" t="s">
        <v>1027</v>
      </c>
      <c r="O347" s="192" t="s">
        <v>1032</v>
      </c>
      <c r="P347" s="206" t="s">
        <v>1033</v>
      </c>
      <c r="Q347" s="199" t="s">
        <v>1034</v>
      </c>
      <c r="R347" s="199" t="s">
        <v>1035</v>
      </c>
      <c r="S347" s="199" t="s">
        <v>1037</v>
      </c>
      <c r="T347" s="203"/>
      <c r="U347" s="198"/>
      <c r="V347" s="198"/>
      <c r="W347" s="198"/>
      <c r="X347" s="198"/>
      <c r="Y347" s="198"/>
      <c r="Z347" s="202" t="str">
        <f t="shared" si="0"/>
        <v>RLOM Coverings</v>
      </c>
      <c r="AA347" s="172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</row>
    <row r="348" spans="1:40" ht="33" customHeight="1">
      <c r="A348" s="190">
        <v>3</v>
      </c>
      <c r="B348" s="190" t="s">
        <v>538</v>
      </c>
      <c r="C348" s="190">
        <v>33</v>
      </c>
      <c r="D348" s="191" t="s">
        <v>3087</v>
      </c>
      <c r="E348" s="192">
        <v>333</v>
      </c>
      <c r="F348" s="192" t="s">
        <v>3232</v>
      </c>
      <c r="G348" s="233"/>
      <c r="H348" s="222" t="str">
        <f>HYPERLINK("http://bsdd.buildingsmart.org/#concept/details/0lRkSgMTj5VPQ_i4TorYBW","0lRkSgMTj5VPQ_i4TorYBW")</f>
        <v>0lRkSgMTj5VPQ_i4TorYBW</v>
      </c>
      <c r="I348" s="119" t="s">
        <v>4991</v>
      </c>
      <c r="J348" s="209" t="s">
        <v>4035</v>
      </c>
      <c r="K348" s="206"/>
      <c r="L348" s="249" t="s">
        <v>3338</v>
      </c>
      <c r="M348" s="198"/>
      <c r="N348" s="203" t="s">
        <v>722</v>
      </c>
      <c r="O348" s="199" t="s">
        <v>724</v>
      </c>
      <c r="P348" s="191" t="s">
        <v>726</v>
      </c>
      <c r="Q348" s="203" t="s">
        <v>809</v>
      </c>
      <c r="R348" s="203" t="s">
        <v>810</v>
      </c>
      <c r="S348" s="203" t="s">
        <v>811</v>
      </c>
      <c r="T348" s="203"/>
      <c r="U348" s="198"/>
      <c r="V348" s="198"/>
      <c r="W348" s="198"/>
      <c r="X348" s="198"/>
      <c r="Y348" s="198"/>
      <c r="Z348" s="202" t="str">
        <f t="shared" si="0"/>
        <v>RLOM PipeSegments</v>
      </c>
      <c r="AA348" s="172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</row>
    <row r="349" spans="1:40" ht="33" customHeight="1">
      <c r="A349" s="190">
        <v>3</v>
      </c>
      <c r="B349" s="190" t="s">
        <v>538</v>
      </c>
      <c r="C349" s="190">
        <v>33</v>
      </c>
      <c r="D349" s="191" t="s">
        <v>3087</v>
      </c>
      <c r="E349" s="192">
        <v>333</v>
      </c>
      <c r="F349" s="192" t="s">
        <v>3232</v>
      </c>
      <c r="G349" s="233"/>
      <c r="H349" s="222" t="str">
        <f>HYPERLINK("http://bsdd.buildingsmart.org/#concept/details/1bNmVNymrARQs9IC5glhiJ","1bNmVNymrARQs9IC5glhiJ")</f>
        <v>1bNmVNymrARQs9IC5glhiJ</v>
      </c>
      <c r="I349" s="122" t="s">
        <v>4992</v>
      </c>
      <c r="J349" s="195" t="s">
        <v>4036</v>
      </c>
      <c r="K349" s="191" t="s">
        <v>3241</v>
      </c>
      <c r="L349" s="249" t="s">
        <v>3420</v>
      </c>
      <c r="M349" s="198"/>
      <c r="N349" s="203" t="s">
        <v>565</v>
      </c>
      <c r="O349" s="199" t="s">
        <v>566</v>
      </c>
      <c r="P349" s="191" t="s">
        <v>794</v>
      </c>
      <c r="Q349" s="203" t="s">
        <v>569</v>
      </c>
      <c r="R349" s="203" t="s">
        <v>571</v>
      </c>
      <c r="S349" s="203" t="s">
        <v>795</v>
      </c>
      <c r="T349" s="203" t="s">
        <v>796</v>
      </c>
      <c r="U349" s="198"/>
      <c r="V349" s="198"/>
      <c r="W349" s="198"/>
      <c r="X349" s="198"/>
      <c r="Y349" s="198"/>
      <c r="Z349" s="202" t="str">
        <f t="shared" si="0"/>
        <v>RLOM PipeFittings</v>
      </c>
      <c r="AA349" s="172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</row>
    <row r="350" spans="1:40" ht="33" customHeight="1">
      <c r="A350" s="190">
        <v>3</v>
      </c>
      <c r="B350" s="190" t="s">
        <v>538</v>
      </c>
      <c r="C350" s="190">
        <v>33</v>
      </c>
      <c r="D350" s="191" t="s">
        <v>3087</v>
      </c>
      <c r="E350" s="192">
        <v>333</v>
      </c>
      <c r="F350" s="192" t="s">
        <v>3232</v>
      </c>
      <c r="G350" s="233"/>
      <c r="H350" s="222" t="str">
        <f>HYPERLINK("http://bsdd.buildingsmart.org/#concept/details/03r6SRvC59khtOluVgjo9B","03r6SRvC59khtOluVgjo9B")</f>
        <v>03r6SRvC59khtOluVgjo9B</v>
      </c>
      <c r="I350" s="122" t="s">
        <v>4993</v>
      </c>
      <c r="J350" s="195" t="s">
        <v>4037</v>
      </c>
      <c r="K350" s="191"/>
      <c r="L350" s="249" t="s">
        <v>3359</v>
      </c>
      <c r="M350" s="198"/>
      <c r="N350" s="203" t="s">
        <v>565</v>
      </c>
      <c r="O350" s="199" t="s">
        <v>566</v>
      </c>
      <c r="P350" s="191" t="s">
        <v>794</v>
      </c>
      <c r="Q350" s="203" t="s">
        <v>569</v>
      </c>
      <c r="R350" s="203" t="s">
        <v>571</v>
      </c>
      <c r="S350" s="203" t="s">
        <v>795</v>
      </c>
      <c r="T350" s="203" t="s">
        <v>910</v>
      </c>
      <c r="U350" s="198"/>
      <c r="V350" s="198"/>
      <c r="W350" s="198"/>
      <c r="X350" s="198"/>
      <c r="Y350" s="198"/>
      <c r="Z350" s="202" t="str">
        <f t="shared" si="0"/>
        <v>RLOM PipeFittings</v>
      </c>
      <c r="AA350" s="172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</row>
    <row r="351" spans="1:40" ht="33" customHeight="1">
      <c r="A351" s="190">
        <v>3</v>
      </c>
      <c r="B351" s="190" t="s">
        <v>538</v>
      </c>
      <c r="C351" s="190">
        <v>33</v>
      </c>
      <c r="D351" s="191" t="s">
        <v>3087</v>
      </c>
      <c r="E351" s="192">
        <v>333</v>
      </c>
      <c r="F351" s="192" t="s">
        <v>3232</v>
      </c>
      <c r="G351" s="233"/>
      <c r="H351" s="222" t="str">
        <f>HYPERLINK("http://bsdd.buildingsmart.org/#concept/details/2ScGOKl0TF58sYPFb6KHbc","2ScGOKl0TF58sYPFb6KHbc")</f>
        <v>2ScGOKl0TF58sYPFb6KHbc</v>
      </c>
      <c r="I351" s="122" t="s">
        <v>4994</v>
      </c>
      <c r="J351" s="195" t="s">
        <v>4038</v>
      </c>
      <c r="K351" s="191" t="s">
        <v>550</v>
      </c>
      <c r="L351" s="249" t="s">
        <v>3306</v>
      </c>
      <c r="M351" s="198"/>
      <c r="N351" s="203" t="s">
        <v>565</v>
      </c>
      <c r="O351" s="199" t="s">
        <v>566</v>
      </c>
      <c r="P351" s="191" t="s">
        <v>567</v>
      </c>
      <c r="Q351" s="203" t="s">
        <v>569</v>
      </c>
      <c r="R351" s="203" t="s">
        <v>571</v>
      </c>
      <c r="S351" s="203" t="s">
        <v>573</v>
      </c>
      <c r="T351" s="203"/>
      <c r="U351" s="198"/>
      <c r="V351" s="198"/>
      <c r="W351" s="198"/>
      <c r="X351" s="198"/>
      <c r="Y351" s="198"/>
      <c r="Z351" s="202" t="str">
        <f t="shared" si="0"/>
        <v>RLOM PipeFittings</v>
      </c>
      <c r="AA351" s="172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</row>
    <row r="352" spans="1:40" ht="33" customHeight="1">
      <c r="A352" s="190">
        <v>3</v>
      </c>
      <c r="B352" s="190" t="s">
        <v>538</v>
      </c>
      <c r="C352" s="190">
        <v>33</v>
      </c>
      <c r="D352" s="191" t="s">
        <v>3087</v>
      </c>
      <c r="E352" s="192">
        <v>333</v>
      </c>
      <c r="F352" s="192" t="s">
        <v>3232</v>
      </c>
      <c r="G352" s="191" t="s">
        <v>3148</v>
      </c>
      <c r="H352" s="208" t="str">
        <f>HYPERLINK("http://bsdd.buildingsmart.org/#concept/details/3gT2l3EVfEKR6YLlZ0KrLp","3gT2l3EVfEKR6YLlZ0KrLp")</f>
        <v>3gT2l3EVfEKR6YLlZ0KrLp</v>
      </c>
      <c r="I352" s="119" t="s">
        <v>4995</v>
      </c>
      <c r="J352" s="209" t="s">
        <v>4039</v>
      </c>
      <c r="K352" s="234"/>
      <c r="L352" s="247" t="s">
        <v>4005</v>
      </c>
      <c r="M352" s="198"/>
      <c r="N352" s="199"/>
      <c r="O352" s="199"/>
      <c r="P352" s="206"/>
      <c r="Q352" s="199" t="s">
        <v>3207</v>
      </c>
      <c r="R352" s="199"/>
      <c r="S352" s="199"/>
      <c r="T352" s="203"/>
      <c r="U352" s="198"/>
      <c r="V352" s="198"/>
      <c r="W352" s="196"/>
      <c r="X352" s="196"/>
      <c r="Y352" s="196"/>
      <c r="Z352" s="202" t="str">
        <f t="shared" si="0"/>
        <v>RLOM FlowTerminals</v>
      </c>
      <c r="AA352" s="172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</row>
    <row r="353" spans="1:40" ht="33" customHeight="1">
      <c r="A353" s="190">
        <v>3</v>
      </c>
      <c r="B353" s="190" t="s">
        <v>538</v>
      </c>
      <c r="C353" s="190">
        <v>33</v>
      </c>
      <c r="D353" s="191" t="s">
        <v>3087</v>
      </c>
      <c r="E353" s="192">
        <v>333</v>
      </c>
      <c r="F353" s="192" t="s">
        <v>3232</v>
      </c>
      <c r="G353" s="191" t="s">
        <v>3148</v>
      </c>
      <c r="H353" s="208" t="str">
        <f>HYPERLINK("http://bsdd.buildingsmart.org/#concept/details/0B9D7Ru9jAquuAVocoATi4","0B9D7Ru9jAquuAVocoATi4")</f>
        <v>0B9D7Ru9jAquuAVocoATi4</v>
      </c>
      <c r="I353" s="119" t="s">
        <v>4996</v>
      </c>
      <c r="J353" s="209" t="s">
        <v>4040</v>
      </c>
      <c r="K353" s="206"/>
      <c r="L353" s="247" t="s">
        <v>4041</v>
      </c>
      <c r="M353" s="198"/>
      <c r="N353" s="199"/>
      <c r="O353" s="199"/>
      <c r="P353" s="206"/>
      <c r="Q353" s="199" t="s">
        <v>3254</v>
      </c>
      <c r="R353" s="199"/>
      <c r="S353" s="199"/>
      <c r="T353" s="203"/>
      <c r="U353" s="198"/>
      <c r="V353" s="198"/>
      <c r="W353" s="196"/>
      <c r="X353" s="196"/>
      <c r="Y353" s="196"/>
      <c r="Z353" s="202" t="str">
        <f t="shared" si="0"/>
        <v>RLOM FlowControllers</v>
      </c>
      <c r="AA353" s="172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</row>
    <row r="354" spans="1:40" ht="33" customHeight="1">
      <c r="A354" s="190">
        <v>3</v>
      </c>
      <c r="B354" s="190" t="s">
        <v>538</v>
      </c>
      <c r="C354" s="190">
        <v>33</v>
      </c>
      <c r="D354" s="191" t="s">
        <v>3087</v>
      </c>
      <c r="E354" s="192">
        <v>334</v>
      </c>
      <c r="F354" s="192" t="s">
        <v>3255</v>
      </c>
      <c r="G354" s="233"/>
      <c r="H354" s="222" t="str">
        <f>HYPERLINK("http://bsdd.buildingsmart.org/#concept/details/1dCsZ71uz2dv$YEMCjD4IX","1dCsZ71uz2dv$YEMCjD4IX")</f>
        <v>1dCsZ71uz2dv$YEMCjD4IX</v>
      </c>
      <c r="I354" s="120" t="s">
        <v>4997</v>
      </c>
      <c r="J354" s="195" t="s">
        <v>4042</v>
      </c>
      <c r="K354" s="191" t="s">
        <v>3014</v>
      </c>
      <c r="L354" s="249" t="s">
        <v>4015</v>
      </c>
      <c r="M354" s="203" t="s">
        <v>3016</v>
      </c>
      <c r="N354" s="192" t="s">
        <v>1027</v>
      </c>
      <c r="O354" s="192" t="s">
        <v>1032</v>
      </c>
      <c r="P354" s="206" t="s">
        <v>1033</v>
      </c>
      <c r="Q354" s="199" t="s">
        <v>1034</v>
      </c>
      <c r="R354" s="199" t="s">
        <v>1035</v>
      </c>
      <c r="S354" s="199" t="s">
        <v>1037</v>
      </c>
      <c r="T354" s="203"/>
      <c r="U354" s="198"/>
      <c r="V354" s="198"/>
      <c r="W354" s="198"/>
      <c r="X354" s="198"/>
      <c r="Y354" s="198"/>
      <c r="Z354" s="202" t="str">
        <f t="shared" si="0"/>
        <v>RLOM Coverings</v>
      </c>
      <c r="AA354" s="172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</row>
    <row r="355" spans="1:40" ht="33" customHeight="1">
      <c r="A355" s="190">
        <v>3</v>
      </c>
      <c r="B355" s="190" t="s">
        <v>538</v>
      </c>
      <c r="C355" s="190">
        <v>33</v>
      </c>
      <c r="D355" s="191" t="s">
        <v>3087</v>
      </c>
      <c r="E355" s="192">
        <v>334</v>
      </c>
      <c r="F355" s="192" t="s">
        <v>3255</v>
      </c>
      <c r="G355" s="233"/>
      <c r="H355" s="222" t="str">
        <f>HYPERLINK("http://bsdd.buildingsmart.org/#concept/details/2eACGnH3b8$PNwXol9OGCI","2eACGnH3b8$PNwXol9OGCI")</f>
        <v>2eACGnH3b8$PNwXol9OGCI</v>
      </c>
      <c r="I355" s="119" t="s">
        <v>4998</v>
      </c>
      <c r="J355" s="209" t="s">
        <v>4043</v>
      </c>
      <c r="K355" s="206"/>
      <c r="L355" s="249" t="s">
        <v>3338</v>
      </c>
      <c r="M355" s="198"/>
      <c r="N355" s="203" t="s">
        <v>722</v>
      </c>
      <c r="O355" s="199" t="s">
        <v>724</v>
      </c>
      <c r="P355" s="191" t="s">
        <v>726</v>
      </c>
      <c r="Q355" s="203" t="s">
        <v>809</v>
      </c>
      <c r="R355" s="203" t="s">
        <v>810</v>
      </c>
      <c r="S355" s="203" t="s">
        <v>811</v>
      </c>
      <c r="T355" s="203"/>
      <c r="U355" s="198"/>
      <c r="V355" s="198"/>
      <c r="W355" s="198"/>
      <c r="X355" s="198"/>
      <c r="Y355" s="198"/>
      <c r="Z355" s="202" t="str">
        <f t="shared" si="0"/>
        <v>RLOM PipeSegments</v>
      </c>
      <c r="AA355" s="172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</row>
    <row r="356" spans="1:40" ht="33" customHeight="1">
      <c r="A356" s="190">
        <v>3</v>
      </c>
      <c r="B356" s="190" t="s">
        <v>538</v>
      </c>
      <c r="C356" s="190">
        <v>33</v>
      </c>
      <c r="D356" s="191" t="s">
        <v>3087</v>
      </c>
      <c r="E356" s="192">
        <v>334</v>
      </c>
      <c r="F356" s="192" t="s">
        <v>3255</v>
      </c>
      <c r="G356" s="233"/>
      <c r="H356" s="222" t="str">
        <f>HYPERLINK("http://bsdd.buildingsmart.org/#concept/details/3O$6EFjA13LxJ_jBo4glwo","3O$6EFjA13LxJ_jBo4glwo")</f>
        <v>3O$6EFjA13LxJ_jBo4glwo</v>
      </c>
      <c r="I356" s="122" t="s">
        <v>4999</v>
      </c>
      <c r="J356" s="195" t="s">
        <v>4044</v>
      </c>
      <c r="K356" s="191" t="s">
        <v>3263</v>
      </c>
      <c r="L356" s="249" t="s">
        <v>3420</v>
      </c>
      <c r="M356" s="198"/>
      <c r="N356" s="203" t="s">
        <v>565</v>
      </c>
      <c r="O356" s="199" t="s">
        <v>566</v>
      </c>
      <c r="P356" s="191" t="s">
        <v>794</v>
      </c>
      <c r="Q356" s="203" t="s">
        <v>569</v>
      </c>
      <c r="R356" s="203" t="s">
        <v>571</v>
      </c>
      <c r="S356" s="203" t="s">
        <v>795</v>
      </c>
      <c r="T356" s="203" t="s">
        <v>796</v>
      </c>
      <c r="U356" s="198"/>
      <c r="V356" s="198"/>
      <c r="W356" s="198"/>
      <c r="X356" s="198"/>
      <c r="Y356" s="198"/>
      <c r="Z356" s="202" t="str">
        <f t="shared" si="0"/>
        <v>RLOM PipeFittings</v>
      </c>
      <c r="AA356" s="172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</row>
    <row r="357" spans="1:40" ht="33" customHeight="1">
      <c r="A357" s="190">
        <v>3</v>
      </c>
      <c r="B357" s="190" t="s">
        <v>538</v>
      </c>
      <c r="C357" s="190">
        <v>33</v>
      </c>
      <c r="D357" s="191" t="s">
        <v>3087</v>
      </c>
      <c r="E357" s="192">
        <v>334</v>
      </c>
      <c r="F357" s="192" t="s">
        <v>3255</v>
      </c>
      <c r="G357" s="233"/>
      <c r="H357" s="222" t="str">
        <f>HYPERLINK("http://bsdd.buildingsmart.org/#concept/details/0fQAtM_r9BixmsejsLAlmE","0fQAtM_r9BixmsejsLAlmE")</f>
        <v>0fQAtM_r9BixmsejsLAlmE</v>
      </c>
      <c r="I357" s="122" t="s">
        <v>5000</v>
      </c>
      <c r="J357" s="195" t="s">
        <v>4045</v>
      </c>
      <c r="K357" s="191"/>
      <c r="L357" s="250" t="str">
        <f t="shared" ref="L357:L358" ca="1" si="21">IFERROR(__xludf.DUMMYFUNCTION(GOOGLETRANSLATE(J357,"no","en")),"T-junction extinguishing powder")</f>
        <v>T-junction extinguishing powder</v>
      </c>
      <c r="M357" s="198"/>
      <c r="N357" s="203" t="s">
        <v>565</v>
      </c>
      <c r="O357" s="199" t="s">
        <v>566</v>
      </c>
      <c r="P357" s="191" t="s">
        <v>794</v>
      </c>
      <c r="Q357" s="203" t="s">
        <v>569</v>
      </c>
      <c r="R357" s="203" t="s">
        <v>571</v>
      </c>
      <c r="S357" s="203" t="s">
        <v>795</v>
      </c>
      <c r="T357" s="203" t="s">
        <v>910</v>
      </c>
      <c r="U357" s="198"/>
      <c r="V357" s="198"/>
      <c r="W357" s="198"/>
      <c r="X357" s="198"/>
      <c r="Y357" s="198"/>
      <c r="Z357" s="202" t="str">
        <f t="shared" si="0"/>
        <v>RLOM PipeFittings</v>
      </c>
      <c r="AA357" s="172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</row>
    <row r="358" spans="1:40" ht="33" customHeight="1">
      <c r="A358" s="190">
        <v>3</v>
      </c>
      <c r="B358" s="190" t="s">
        <v>538</v>
      </c>
      <c r="C358" s="190">
        <v>33</v>
      </c>
      <c r="D358" s="191" t="s">
        <v>3087</v>
      </c>
      <c r="E358" s="192">
        <v>334</v>
      </c>
      <c r="F358" s="192" t="s">
        <v>3255</v>
      </c>
      <c r="G358" s="233"/>
      <c r="H358" s="222" t="str">
        <f>HYPERLINK("http://bsdd.buildingsmart.org/#concept/details/29WtsCSXb1OPq64Q_FVYi$","29WtsCSXb1OPq64Q_FVYi$")</f>
        <v>29WtsCSXb1OPq64Q_FVYi$</v>
      </c>
      <c r="I358" s="122" t="s">
        <v>5001</v>
      </c>
      <c r="J358" s="195" t="s">
        <v>4046</v>
      </c>
      <c r="K358" s="191" t="s">
        <v>550</v>
      </c>
      <c r="L358" s="250" t="str">
        <f t="shared" ca="1" si="21"/>
        <v>T-junction extinguishing powder</v>
      </c>
      <c r="M358" s="198"/>
      <c r="N358" s="203" t="s">
        <v>565</v>
      </c>
      <c r="O358" s="199" t="s">
        <v>566</v>
      </c>
      <c r="P358" s="191" t="s">
        <v>567</v>
      </c>
      <c r="Q358" s="203" t="s">
        <v>569</v>
      </c>
      <c r="R358" s="203" t="s">
        <v>571</v>
      </c>
      <c r="S358" s="203" t="s">
        <v>573</v>
      </c>
      <c r="T358" s="203"/>
      <c r="U358" s="198"/>
      <c r="V358" s="198"/>
      <c r="W358" s="198"/>
      <c r="X358" s="198"/>
      <c r="Y358" s="198"/>
      <c r="Z358" s="202" t="str">
        <f t="shared" si="0"/>
        <v>RLOM PipeFittings</v>
      </c>
      <c r="AA358" s="172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</row>
    <row r="359" spans="1:40" ht="33" customHeight="1">
      <c r="A359" s="190">
        <v>3</v>
      </c>
      <c r="B359" s="190" t="s">
        <v>538</v>
      </c>
      <c r="C359" s="190">
        <v>33</v>
      </c>
      <c r="D359" s="191" t="s">
        <v>3087</v>
      </c>
      <c r="E359" s="192">
        <v>334</v>
      </c>
      <c r="F359" s="192" t="s">
        <v>3255</v>
      </c>
      <c r="G359" s="191" t="s">
        <v>3148</v>
      </c>
      <c r="H359" s="222" t="str">
        <f>HYPERLINK("http://bsdd.buildingsmart.org/#concept/details/3cUnMgwujD4e2eYAknPTJa","3cUnMgwujD4e2eYAknPTJa")</f>
        <v>3cUnMgwujD4e2eYAknPTJa</v>
      </c>
      <c r="I359" s="120" t="s">
        <v>5002</v>
      </c>
      <c r="J359" s="195" t="s">
        <v>4047</v>
      </c>
      <c r="K359" s="235"/>
      <c r="L359" s="249" t="s">
        <v>4005</v>
      </c>
      <c r="M359" s="198"/>
      <c r="N359" s="203"/>
      <c r="O359" s="203"/>
      <c r="P359" s="191"/>
      <c r="Q359" s="203" t="s">
        <v>3207</v>
      </c>
      <c r="R359" s="203"/>
      <c r="S359" s="203"/>
      <c r="T359" s="203"/>
      <c r="U359" s="198"/>
      <c r="V359" s="198"/>
      <c r="W359" s="198"/>
      <c r="X359" s="198"/>
      <c r="Y359" s="198"/>
      <c r="Z359" s="202" t="str">
        <f t="shared" si="0"/>
        <v>RLOM FlowTerminals</v>
      </c>
      <c r="AA359" s="172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</row>
    <row r="360" spans="1:40" ht="33" customHeight="1">
      <c r="A360" s="190">
        <v>3</v>
      </c>
      <c r="B360" s="190" t="s">
        <v>538</v>
      </c>
      <c r="C360" s="190">
        <v>33</v>
      </c>
      <c r="D360" s="191" t="s">
        <v>3087</v>
      </c>
      <c r="E360" s="192">
        <v>334</v>
      </c>
      <c r="F360" s="192" t="s">
        <v>3255</v>
      </c>
      <c r="G360" s="191" t="s">
        <v>3148</v>
      </c>
      <c r="H360" s="208" t="str">
        <f>HYPERLINK("http://bsdd.buildingsmart.org/#concept/details/244EaAWJSHu000025QrE$V","244EaAWJSHu000025QrE$V")</f>
        <v>244EaAWJSHu000025QrE$V</v>
      </c>
      <c r="I360" s="119" t="s">
        <v>3271</v>
      </c>
      <c r="J360" s="209" t="s">
        <v>4048</v>
      </c>
      <c r="K360" s="206"/>
      <c r="L360" s="247" t="s">
        <v>4041</v>
      </c>
      <c r="M360" s="198"/>
      <c r="N360" s="199"/>
      <c r="O360" s="199"/>
      <c r="P360" s="206"/>
      <c r="Q360" s="199" t="s">
        <v>3254</v>
      </c>
      <c r="R360" s="199"/>
      <c r="S360" s="199"/>
      <c r="T360" s="203"/>
      <c r="U360" s="198"/>
      <c r="V360" s="198"/>
      <c r="W360" s="196"/>
      <c r="X360" s="196"/>
      <c r="Y360" s="196"/>
      <c r="Z360" s="202" t="str">
        <f t="shared" si="0"/>
        <v>RLOM FlowControllers</v>
      </c>
      <c r="AA360" s="172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</row>
    <row r="361" spans="1:40" ht="33" customHeight="1">
      <c r="A361" s="190">
        <v>3</v>
      </c>
      <c r="B361" s="190" t="s">
        <v>538</v>
      </c>
      <c r="C361" s="190">
        <v>33</v>
      </c>
      <c r="D361" s="191" t="s">
        <v>3087</v>
      </c>
      <c r="E361" s="192">
        <v>334</v>
      </c>
      <c r="F361" s="192" t="s">
        <v>3255</v>
      </c>
      <c r="G361" s="191"/>
      <c r="H361" s="222" t="str">
        <f>HYPERLINK("http://bsdd.buildingsmart.org/#concept/details/01c6VRz9D0RwQSYWV20BA7","01c6VRz9D0RwQSYWV20BA7")</f>
        <v>01c6VRz9D0RwQSYWV20BA7</v>
      </c>
      <c r="I361" s="123" t="s">
        <v>3274</v>
      </c>
      <c r="J361" s="195" t="s">
        <v>4049</v>
      </c>
      <c r="K361" s="198"/>
      <c r="L361" s="250" t="str">
        <f ca="1">IFERROR(__xludf.DUMMYFUNCTION(GOOGLETRANSLATE(J361,"no","en")),"fire extinguisher")</f>
        <v>fire extinguisher</v>
      </c>
      <c r="M361" s="198"/>
      <c r="N361" s="203" t="s">
        <v>3275</v>
      </c>
      <c r="O361" s="203" t="s">
        <v>3274</v>
      </c>
      <c r="P361" s="191" t="s">
        <v>3276</v>
      </c>
      <c r="Q361" s="203" t="s">
        <v>3094</v>
      </c>
      <c r="R361" s="203"/>
      <c r="S361" s="198"/>
      <c r="T361" s="203"/>
      <c r="U361" s="200"/>
      <c r="V361" s="200"/>
      <c r="W361" s="226"/>
      <c r="X361" s="226"/>
      <c r="Y361" s="226"/>
      <c r="Z361" s="202" t="str">
        <f t="shared" si="0"/>
        <v>RLOM FireSuppressionTerminals</v>
      </c>
      <c r="AA361" s="172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</row>
    <row r="362" spans="1:40" ht="33" customHeight="1">
      <c r="A362" s="190">
        <v>3</v>
      </c>
      <c r="B362" s="190" t="s">
        <v>538</v>
      </c>
      <c r="C362" s="190">
        <v>33</v>
      </c>
      <c r="D362" s="191" t="s">
        <v>3087</v>
      </c>
      <c r="E362" s="192">
        <v>335</v>
      </c>
      <c r="F362" s="192" t="s">
        <v>3277</v>
      </c>
      <c r="G362" s="193" t="s">
        <v>3148</v>
      </c>
      <c r="H362" s="208" t="str">
        <f>HYPERLINK("http://bsdd.buildingsmart.org/#concept/details/3DV_tcyzr13ebAo0HsQiye","3DV_tcyzr13ebAo0HsQiye")</f>
        <v>3DV_tcyzr13ebAo0HsQiye</v>
      </c>
      <c r="I362" s="119" t="s">
        <v>3278</v>
      </c>
      <c r="J362" s="209" t="s">
        <v>4050</v>
      </c>
      <c r="K362" s="206"/>
      <c r="L362" s="247" t="s">
        <v>4005</v>
      </c>
      <c r="M362" s="198"/>
      <c r="N362" s="199"/>
      <c r="O362" s="199"/>
      <c r="P362" s="206"/>
      <c r="Q362" s="199" t="s">
        <v>3207</v>
      </c>
      <c r="R362" s="199"/>
      <c r="S362" s="199"/>
      <c r="T362" s="203"/>
      <c r="U362" s="198"/>
      <c r="V362" s="198"/>
      <c r="W362" s="196"/>
      <c r="X362" s="196"/>
      <c r="Y362" s="196"/>
      <c r="Z362" s="202" t="str">
        <f t="shared" si="0"/>
        <v>RLOM FlowTerminals</v>
      </c>
      <c r="AA362" s="172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</row>
    <row r="363" spans="1:40" ht="33" customHeight="1">
      <c r="A363" s="190">
        <v>3</v>
      </c>
      <c r="B363" s="190" t="s">
        <v>538</v>
      </c>
      <c r="C363" s="190">
        <v>33</v>
      </c>
      <c r="D363" s="191" t="s">
        <v>3087</v>
      </c>
      <c r="E363" s="192">
        <v>335</v>
      </c>
      <c r="F363" s="192" t="s">
        <v>3277</v>
      </c>
      <c r="G363" s="191" t="s">
        <v>3281</v>
      </c>
      <c r="H363" s="222" t="str">
        <f>HYPERLINK("http://bsdd.buildingsmart.org/#concept/details/1rVjMNSK57hPTdZNsedo_s","1rVjMNSK57hPTdZNsedo_s")</f>
        <v>1rVjMNSK57hPTdZNsedo_s</v>
      </c>
      <c r="I363" s="120" t="s">
        <v>5003</v>
      </c>
      <c r="J363" s="195" t="s">
        <v>4051</v>
      </c>
      <c r="K363" s="191" t="s">
        <v>3014</v>
      </c>
      <c r="L363" s="249" t="s">
        <v>4015</v>
      </c>
      <c r="M363" s="203" t="s">
        <v>3016</v>
      </c>
      <c r="N363" s="192" t="s">
        <v>1027</v>
      </c>
      <c r="O363" s="192" t="s">
        <v>1032</v>
      </c>
      <c r="P363" s="206" t="s">
        <v>1033</v>
      </c>
      <c r="Q363" s="199" t="s">
        <v>1034</v>
      </c>
      <c r="R363" s="199" t="s">
        <v>1035</v>
      </c>
      <c r="S363" s="199" t="s">
        <v>1037</v>
      </c>
      <c r="T363" s="203"/>
      <c r="U363" s="198"/>
      <c r="V363" s="198"/>
      <c r="W363" s="198"/>
      <c r="X363" s="198"/>
      <c r="Y363" s="198"/>
      <c r="Z363" s="202" t="str">
        <f t="shared" si="0"/>
        <v>RLOM Coverings</v>
      </c>
      <c r="AA363" s="172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</row>
    <row r="364" spans="1:40" ht="33" customHeight="1">
      <c r="A364" s="190">
        <v>3</v>
      </c>
      <c r="B364" s="190" t="s">
        <v>538</v>
      </c>
      <c r="C364" s="190">
        <v>33</v>
      </c>
      <c r="D364" s="191" t="s">
        <v>3087</v>
      </c>
      <c r="E364" s="192">
        <v>335</v>
      </c>
      <c r="F364" s="192" t="s">
        <v>3277</v>
      </c>
      <c r="G364" s="193" t="s">
        <v>3148</v>
      </c>
      <c r="H364" s="222" t="str">
        <f>HYPERLINK("http://bsdd.buildingsmart.org/#concept/details/2w4K08mrX61v455H2U1zHI","2w4K08mrX61v455H2U1zHI")</f>
        <v>2w4K08mrX61v455H2U1zHI</v>
      </c>
      <c r="I364" s="119" t="s">
        <v>5004</v>
      </c>
      <c r="J364" s="209" t="s">
        <v>4052</v>
      </c>
      <c r="K364" s="206"/>
      <c r="L364" s="249" t="s">
        <v>3338</v>
      </c>
      <c r="M364" s="198"/>
      <c r="N364" s="203" t="s">
        <v>722</v>
      </c>
      <c r="O364" s="199" t="s">
        <v>724</v>
      </c>
      <c r="P364" s="191" t="s">
        <v>726</v>
      </c>
      <c r="Q364" s="203" t="s">
        <v>809</v>
      </c>
      <c r="R364" s="203" t="s">
        <v>810</v>
      </c>
      <c r="S364" s="203" t="s">
        <v>811</v>
      </c>
      <c r="T364" s="203"/>
      <c r="U364" s="198"/>
      <c r="V364" s="196"/>
      <c r="W364" s="198"/>
      <c r="X364" s="198"/>
      <c r="Y364" s="198"/>
      <c r="Z364" s="202" t="str">
        <f t="shared" si="0"/>
        <v>RLOM PipeSegments</v>
      </c>
      <c r="AA364" s="172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</row>
    <row r="365" spans="1:40" ht="33" customHeight="1">
      <c r="A365" s="190">
        <v>3</v>
      </c>
      <c r="B365" s="190" t="s">
        <v>538</v>
      </c>
      <c r="C365" s="190">
        <v>33</v>
      </c>
      <c r="D365" s="191" t="s">
        <v>3087</v>
      </c>
      <c r="E365" s="192">
        <v>335</v>
      </c>
      <c r="F365" s="192" t="s">
        <v>3277</v>
      </c>
      <c r="G365" s="193" t="s">
        <v>3148</v>
      </c>
      <c r="H365" s="222" t="str">
        <f>HYPERLINK("http://bsdd.buildingsmart.org/#concept/details/142P6gQz98X8f_YlS9fZ_N","142P6gQz98X8f_YlS9fZ_N")</f>
        <v>142P6gQz98X8f_YlS9fZ_N</v>
      </c>
      <c r="I365" s="122" t="s">
        <v>5005</v>
      </c>
      <c r="J365" s="195" t="s">
        <v>4053</v>
      </c>
      <c r="K365" s="191" t="s">
        <v>3287</v>
      </c>
      <c r="L365" s="249" t="s">
        <v>3420</v>
      </c>
      <c r="M365" s="198"/>
      <c r="N365" s="203" t="s">
        <v>565</v>
      </c>
      <c r="O365" s="199" t="s">
        <v>566</v>
      </c>
      <c r="P365" s="191" t="s">
        <v>794</v>
      </c>
      <c r="Q365" s="203" t="s">
        <v>569</v>
      </c>
      <c r="R365" s="203" t="s">
        <v>571</v>
      </c>
      <c r="S365" s="203" t="s">
        <v>795</v>
      </c>
      <c r="T365" s="203" t="s">
        <v>796</v>
      </c>
      <c r="U365" s="198"/>
      <c r="V365" s="196"/>
      <c r="W365" s="198"/>
      <c r="X365" s="198"/>
      <c r="Y365" s="198"/>
      <c r="Z365" s="202" t="str">
        <f t="shared" si="0"/>
        <v>RLOM PipeFittings</v>
      </c>
      <c r="AA365" s="172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</row>
    <row r="366" spans="1:40" ht="33" customHeight="1">
      <c r="A366" s="190">
        <v>3</v>
      </c>
      <c r="B366" s="190" t="s">
        <v>538</v>
      </c>
      <c r="C366" s="190">
        <v>33</v>
      </c>
      <c r="D366" s="191" t="s">
        <v>3087</v>
      </c>
      <c r="E366" s="192">
        <v>335</v>
      </c>
      <c r="F366" s="192" t="s">
        <v>3277</v>
      </c>
      <c r="G366" s="193" t="s">
        <v>3148</v>
      </c>
      <c r="H366" s="222" t="str">
        <f>HYPERLINK("http://bsdd.buildingsmart.org/#concept/details/24drolyYX2Se7hqe$JRVKT","24drolyYX2Se7hqe$JRVKT")</f>
        <v>24drolyYX2Se7hqe$JRVKT</v>
      </c>
      <c r="I366" s="122" t="s">
        <v>5006</v>
      </c>
      <c r="J366" s="195" t="s">
        <v>4054</v>
      </c>
      <c r="K366" s="191"/>
      <c r="L366" s="249" t="s">
        <v>3359</v>
      </c>
      <c r="M366" s="198"/>
      <c r="N366" s="203" t="s">
        <v>565</v>
      </c>
      <c r="O366" s="199" t="s">
        <v>566</v>
      </c>
      <c r="P366" s="191" t="s">
        <v>794</v>
      </c>
      <c r="Q366" s="203" t="s">
        <v>569</v>
      </c>
      <c r="R366" s="203" t="s">
        <v>571</v>
      </c>
      <c r="S366" s="203" t="s">
        <v>795</v>
      </c>
      <c r="T366" s="203" t="s">
        <v>910</v>
      </c>
      <c r="U366" s="198"/>
      <c r="V366" s="196"/>
      <c r="W366" s="198"/>
      <c r="X366" s="198"/>
      <c r="Y366" s="198"/>
      <c r="Z366" s="202" t="str">
        <f t="shared" si="0"/>
        <v>RLOM PipeFittings</v>
      </c>
      <c r="AA366" s="172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</row>
    <row r="367" spans="1:40" ht="33" customHeight="1">
      <c r="A367" s="190">
        <v>3</v>
      </c>
      <c r="B367" s="190" t="s">
        <v>538</v>
      </c>
      <c r="C367" s="190">
        <v>33</v>
      </c>
      <c r="D367" s="191" t="s">
        <v>3087</v>
      </c>
      <c r="E367" s="192">
        <v>335</v>
      </c>
      <c r="F367" s="192" t="s">
        <v>3277</v>
      </c>
      <c r="G367" s="193" t="s">
        <v>3148</v>
      </c>
      <c r="H367" s="222" t="str">
        <f>HYPERLINK("http://bsdd.buildingsmart.org/#concept/details/3$QIJ5gKv4hPazehz8XSJr","3$QIJ5gKv4hPazehz8XSJr")</f>
        <v>3$QIJ5gKv4hPazehz8XSJr</v>
      </c>
      <c r="I367" s="122" t="s">
        <v>5007</v>
      </c>
      <c r="J367" s="195" t="s">
        <v>4055</v>
      </c>
      <c r="K367" s="191" t="s">
        <v>550</v>
      </c>
      <c r="L367" s="249" t="s">
        <v>3306</v>
      </c>
      <c r="M367" s="198"/>
      <c r="N367" s="203" t="s">
        <v>565</v>
      </c>
      <c r="O367" s="199" t="s">
        <v>566</v>
      </c>
      <c r="P367" s="191" t="s">
        <v>567</v>
      </c>
      <c r="Q367" s="203" t="s">
        <v>569</v>
      </c>
      <c r="R367" s="203" t="s">
        <v>571</v>
      </c>
      <c r="S367" s="203" t="s">
        <v>573</v>
      </c>
      <c r="T367" s="203"/>
      <c r="U367" s="198"/>
      <c r="V367" s="196"/>
      <c r="W367" s="198"/>
      <c r="X367" s="198"/>
      <c r="Y367" s="198"/>
      <c r="Z367" s="202" t="str">
        <f t="shared" si="0"/>
        <v>RLOM PipeFittings</v>
      </c>
      <c r="AA367" s="172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</row>
    <row r="368" spans="1:40" ht="33" customHeight="1">
      <c r="A368" s="190">
        <v>3</v>
      </c>
      <c r="B368" s="190" t="s">
        <v>538</v>
      </c>
      <c r="C368" s="190">
        <v>33</v>
      </c>
      <c r="D368" s="191" t="s">
        <v>3087</v>
      </c>
      <c r="E368" s="192">
        <v>335</v>
      </c>
      <c r="F368" s="192" t="s">
        <v>3277</v>
      </c>
      <c r="G368" s="193" t="s">
        <v>3148</v>
      </c>
      <c r="H368" s="208" t="str">
        <f>HYPERLINK("http://bsdd.buildingsmart.org/#concept/details/1uxsuhVlPC3PBXf5555XDb","1uxsuhVlPC3PBXf5555XDb")</f>
        <v>1uxsuhVlPC3PBXf5555XDb</v>
      </c>
      <c r="I368" s="119" t="s">
        <v>5008</v>
      </c>
      <c r="J368" s="209" t="s">
        <v>4056</v>
      </c>
      <c r="K368" s="206"/>
      <c r="L368" s="247" t="s">
        <v>4041</v>
      </c>
      <c r="M368" s="198"/>
      <c r="N368" s="199"/>
      <c r="O368" s="199"/>
      <c r="P368" s="206"/>
      <c r="Q368" s="199" t="s">
        <v>3254</v>
      </c>
      <c r="R368" s="199"/>
      <c r="S368" s="199"/>
      <c r="T368" s="203"/>
      <c r="U368" s="198"/>
      <c r="V368" s="198"/>
      <c r="W368" s="196"/>
      <c r="X368" s="196"/>
      <c r="Y368" s="196"/>
      <c r="Z368" s="202" t="str">
        <f t="shared" si="0"/>
        <v>RLOM FlowControllers</v>
      </c>
      <c r="AA368" s="172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</row>
    <row r="369" spans="1:40" ht="43.5" customHeight="1">
      <c r="A369" s="190">
        <v>3</v>
      </c>
      <c r="B369" s="190" t="s">
        <v>538</v>
      </c>
      <c r="C369" s="190">
        <v>33</v>
      </c>
      <c r="D369" s="191" t="s">
        <v>3087</v>
      </c>
      <c r="E369" s="192">
        <v>336</v>
      </c>
      <c r="F369" s="192" t="s">
        <v>3147</v>
      </c>
      <c r="G369" s="233"/>
      <c r="H369" s="222" t="str">
        <f>HYPERLINK("http://bsdd.buildingsmart.org/#concept/details/0TN3tkMH977PXj62hm8qMl","0TN3tkMH977PXj62hm8qMl")</f>
        <v>0TN3tkMH977PXj62hm8qMl</v>
      </c>
      <c r="I369" s="120" t="s">
        <v>5009</v>
      </c>
      <c r="J369" s="195" t="s">
        <v>4057</v>
      </c>
      <c r="K369" s="191" t="s">
        <v>3014</v>
      </c>
      <c r="L369" s="249" t="s">
        <v>4015</v>
      </c>
      <c r="M369" s="203" t="s">
        <v>3016</v>
      </c>
      <c r="N369" s="192" t="s">
        <v>1027</v>
      </c>
      <c r="O369" s="192" t="s">
        <v>1032</v>
      </c>
      <c r="P369" s="206" t="s">
        <v>1033</v>
      </c>
      <c r="Q369" s="199" t="s">
        <v>1034</v>
      </c>
      <c r="R369" s="199" t="s">
        <v>1035</v>
      </c>
      <c r="S369" s="199" t="s">
        <v>1037</v>
      </c>
      <c r="T369" s="203"/>
      <c r="U369" s="198"/>
      <c r="V369" s="198"/>
      <c r="W369" s="198"/>
      <c r="X369" s="198"/>
      <c r="Y369" s="198"/>
      <c r="Z369" s="202" t="str">
        <f t="shared" si="0"/>
        <v>RLOM Coverings</v>
      </c>
      <c r="AA369" s="172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</row>
    <row r="370" spans="1:40" ht="24" customHeight="1">
      <c r="A370" s="190">
        <v>3</v>
      </c>
      <c r="B370" s="190" t="s">
        <v>538</v>
      </c>
      <c r="C370" s="190">
        <v>34</v>
      </c>
      <c r="D370" s="191" t="s">
        <v>3296</v>
      </c>
      <c r="E370" s="192">
        <v>341</v>
      </c>
      <c r="F370" s="192" t="s">
        <v>3299</v>
      </c>
      <c r="G370" s="191" t="s">
        <v>3281</v>
      </c>
      <c r="H370" s="222" t="str">
        <f>HYPERLINK("http://bsdd.buildingsmart.org/#concept/details/2fQXTT1n59QB2VxVU_Nbxz","2fQXTT1n59QB2VxVU_Nbxz")</f>
        <v>2fQXTT1n59QB2VxVU_Nbxz</v>
      </c>
      <c r="I370" s="122" t="s">
        <v>5010</v>
      </c>
      <c r="J370" s="195" t="s">
        <v>4058</v>
      </c>
      <c r="K370" s="191"/>
      <c r="L370" s="249" t="s">
        <v>4005</v>
      </c>
      <c r="M370" s="198"/>
      <c r="N370" s="203"/>
      <c r="O370" s="203"/>
      <c r="P370" s="191"/>
      <c r="Q370" s="203" t="s">
        <v>3207</v>
      </c>
      <c r="R370" s="203"/>
      <c r="S370" s="203"/>
      <c r="T370" s="203"/>
      <c r="U370" s="198"/>
      <c r="V370" s="198"/>
      <c r="W370" s="198"/>
      <c r="X370" s="198"/>
      <c r="Y370" s="198"/>
      <c r="Z370" s="202" t="str">
        <f t="shared" si="0"/>
        <v>RLOM FlowTerminals</v>
      </c>
      <c r="AA370" s="172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</row>
    <row r="371" spans="1:40" ht="21.75" customHeight="1">
      <c r="A371" s="190">
        <v>3</v>
      </c>
      <c r="B371" s="190" t="s">
        <v>538</v>
      </c>
      <c r="C371" s="190">
        <v>34</v>
      </c>
      <c r="D371" s="191" t="s">
        <v>3296</v>
      </c>
      <c r="E371" s="192">
        <v>341</v>
      </c>
      <c r="F371" s="192" t="s">
        <v>3299</v>
      </c>
      <c r="G371" s="191" t="s">
        <v>3281</v>
      </c>
      <c r="H371" s="222" t="str">
        <f>HYPERLINK("http://bsdd.buildingsmart.org/#concept/details/2VSwjMBw1DguPAi2T4j5Vo","2VSwjMBw1DguPAi2T4j5Vo")</f>
        <v>2VSwjMBw1DguPAi2T4j5Vo</v>
      </c>
      <c r="I371" s="122" t="s">
        <v>5011</v>
      </c>
      <c r="J371" s="195" t="s">
        <v>4059</v>
      </c>
      <c r="K371" s="191" t="s">
        <v>550</v>
      </c>
      <c r="L371" s="249" t="s">
        <v>3306</v>
      </c>
      <c r="M371" s="198"/>
      <c r="N371" s="203" t="s">
        <v>565</v>
      </c>
      <c r="O371" s="199" t="s">
        <v>566</v>
      </c>
      <c r="P371" s="191" t="s">
        <v>567</v>
      </c>
      <c r="Q371" s="203" t="s">
        <v>569</v>
      </c>
      <c r="R371" s="203" t="s">
        <v>571</v>
      </c>
      <c r="S371" s="203" t="s">
        <v>573</v>
      </c>
      <c r="T371" s="203"/>
      <c r="U371" s="198"/>
      <c r="V371" s="198"/>
      <c r="W371" s="198"/>
      <c r="X371" s="198"/>
      <c r="Y371" s="198"/>
      <c r="Z371" s="202" t="str">
        <f t="shared" si="0"/>
        <v>RLOM PipeFittings</v>
      </c>
      <c r="AA371" s="172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</row>
    <row r="372" spans="1:40" ht="21.75" customHeight="1">
      <c r="A372" s="190">
        <v>3</v>
      </c>
      <c r="B372" s="190" t="s">
        <v>538</v>
      </c>
      <c r="C372" s="190">
        <v>34</v>
      </c>
      <c r="D372" s="191" t="s">
        <v>3296</v>
      </c>
      <c r="E372" s="192">
        <v>341</v>
      </c>
      <c r="F372" s="192" t="s">
        <v>3299</v>
      </c>
      <c r="G372" s="191" t="s">
        <v>3281</v>
      </c>
      <c r="H372" s="222" t="str">
        <f>HYPERLINK("http://bsdd.buildingsmart.org/#concept/details/2SRrnjcDbAuRcxXk_bSZkl","2SRrnjcDbAuRcxXk_bSZkl")</f>
        <v>2SRrnjcDbAuRcxXk_bSZkl</v>
      </c>
      <c r="I372" s="120" t="s">
        <v>3304</v>
      </c>
      <c r="J372" s="195" t="s">
        <v>4060</v>
      </c>
      <c r="K372" s="191"/>
      <c r="L372" s="249" t="s">
        <v>4061</v>
      </c>
      <c r="M372" s="198"/>
      <c r="N372" s="203" t="s">
        <v>722</v>
      </c>
      <c r="O372" s="199" t="s">
        <v>724</v>
      </c>
      <c r="P372" s="191" t="s">
        <v>726</v>
      </c>
      <c r="Q372" s="192" t="s">
        <v>809</v>
      </c>
      <c r="R372" s="203" t="s">
        <v>810</v>
      </c>
      <c r="S372" s="203" t="s">
        <v>811</v>
      </c>
      <c r="T372" s="203"/>
      <c r="U372" s="198"/>
      <c r="V372" s="198"/>
      <c r="W372" s="198"/>
      <c r="X372" s="198"/>
      <c r="Y372" s="198"/>
      <c r="Z372" s="202" t="str">
        <f t="shared" si="0"/>
        <v>RLOM PipeSegments</v>
      </c>
      <c r="AA372" s="172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</row>
    <row r="373" spans="1:40" ht="36" customHeight="1">
      <c r="A373" s="190">
        <v>3</v>
      </c>
      <c r="B373" s="190" t="s">
        <v>538</v>
      </c>
      <c r="C373" s="190">
        <v>34</v>
      </c>
      <c r="D373" s="191" t="s">
        <v>3296</v>
      </c>
      <c r="E373" s="192">
        <v>341</v>
      </c>
      <c r="F373" s="192" t="s">
        <v>3299</v>
      </c>
      <c r="G373" s="191" t="s">
        <v>3281</v>
      </c>
      <c r="H373" s="222" t="str">
        <f>HYPERLINK("http://bsdd.buildingsmart.org/#concept/details/1ftZADM_r07xdrsORZL3fa","1ftZADM_r07xdrsORZL3fa")</f>
        <v>1ftZADM_r07xdrsORZL3fa</v>
      </c>
      <c r="I373" s="120" t="s">
        <v>5012</v>
      </c>
      <c r="J373" s="195" t="s">
        <v>4062</v>
      </c>
      <c r="K373" s="191" t="s">
        <v>3014</v>
      </c>
      <c r="L373" s="249" t="s">
        <v>4015</v>
      </c>
      <c r="M373" s="203" t="s">
        <v>3016</v>
      </c>
      <c r="N373" s="192" t="s">
        <v>1027</v>
      </c>
      <c r="O373" s="192" t="s">
        <v>1032</v>
      </c>
      <c r="P373" s="206" t="s">
        <v>1033</v>
      </c>
      <c r="Q373" s="199" t="s">
        <v>1034</v>
      </c>
      <c r="R373" s="199" t="s">
        <v>1035</v>
      </c>
      <c r="S373" s="199" t="s">
        <v>1037</v>
      </c>
      <c r="T373" s="203"/>
      <c r="U373" s="198"/>
      <c r="V373" s="198"/>
      <c r="W373" s="198"/>
      <c r="X373" s="198"/>
      <c r="Y373" s="198"/>
      <c r="Z373" s="202" t="str">
        <f t="shared" si="0"/>
        <v>RLOM Coverings</v>
      </c>
      <c r="AA373" s="172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</row>
    <row r="374" spans="1:40" ht="21.75" customHeight="1">
      <c r="A374" s="190">
        <v>3</v>
      </c>
      <c r="B374" s="190" t="s">
        <v>538</v>
      </c>
      <c r="C374" s="190">
        <v>34</v>
      </c>
      <c r="D374" s="191" t="s">
        <v>3296</v>
      </c>
      <c r="E374" s="192">
        <v>341</v>
      </c>
      <c r="F374" s="192" t="s">
        <v>3299</v>
      </c>
      <c r="G374" s="191" t="s">
        <v>3281</v>
      </c>
      <c r="H374" s="222" t="str">
        <f>HYPERLINK("http://bsdd.buildingsmart.org/#concept/details/2KlRl9Y7X7zBFLGF17pzdI","2KlRl9Y7X7zBFLGF17pzdI")</f>
        <v>2KlRl9Y7X7zBFLGF17pzdI</v>
      </c>
      <c r="I374" s="122" t="s">
        <v>5013</v>
      </c>
      <c r="J374" s="195" t="s">
        <v>4063</v>
      </c>
      <c r="K374" s="191" t="s">
        <v>3309</v>
      </c>
      <c r="L374" s="249" t="s">
        <v>4064</v>
      </c>
      <c r="M374" s="198"/>
      <c r="N374" s="203" t="s">
        <v>565</v>
      </c>
      <c r="O374" s="199" t="s">
        <v>566</v>
      </c>
      <c r="P374" s="191" t="s">
        <v>794</v>
      </c>
      <c r="Q374" s="203" t="s">
        <v>569</v>
      </c>
      <c r="R374" s="203" t="s">
        <v>571</v>
      </c>
      <c r="S374" s="203" t="s">
        <v>795</v>
      </c>
      <c r="T374" s="203" t="s">
        <v>796</v>
      </c>
      <c r="U374" s="198"/>
      <c r="V374" s="198"/>
      <c r="W374" s="198"/>
      <c r="X374" s="198"/>
      <c r="Y374" s="198"/>
      <c r="Z374" s="202" t="str">
        <f t="shared" si="0"/>
        <v>RLOM PipeFittings</v>
      </c>
      <c r="AA374" s="172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</row>
    <row r="375" spans="1:40" ht="21.75" customHeight="1">
      <c r="A375" s="190">
        <v>3</v>
      </c>
      <c r="B375" s="190" t="s">
        <v>538</v>
      </c>
      <c r="C375" s="190">
        <v>34</v>
      </c>
      <c r="D375" s="191" t="s">
        <v>3296</v>
      </c>
      <c r="E375" s="192">
        <v>341</v>
      </c>
      <c r="F375" s="192" t="s">
        <v>3299</v>
      </c>
      <c r="G375" s="191" t="s">
        <v>3281</v>
      </c>
      <c r="H375" s="222" t="str">
        <f>HYPERLINK("http://bsdd.buildingsmart.org/#concept/details/3$yzDMx_v4khGaUdypFhvz","3$yzDMx_v4khGaUdypFhvz")</f>
        <v>3$yzDMx_v4khGaUdypFhvz</v>
      </c>
      <c r="I375" s="120" t="s">
        <v>5014</v>
      </c>
      <c r="J375" s="195" t="s">
        <v>4065</v>
      </c>
      <c r="K375" s="191"/>
      <c r="L375" s="250" t="str">
        <f ca="1">IFERROR(__xludf.DUMMYFUNCTION(GOOGLETRANSLATE(J375,"no","en")),"cabinets emergency shutdown")</f>
        <v>cabinets emergency shutdown</v>
      </c>
      <c r="M375" s="198"/>
      <c r="N375" s="203" t="s">
        <v>1337</v>
      </c>
      <c r="O375" s="199" t="s">
        <v>1338</v>
      </c>
      <c r="P375" s="191" t="s">
        <v>1339</v>
      </c>
      <c r="Q375" s="203" t="s">
        <v>789</v>
      </c>
      <c r="R375" s="203" t="s">
        <v>790</v>
      </c>
      <c r="S375" s="203" t="s">
        <v>791</v>
      </c>
      <c r="T375" s="203"/>
      <c r="U375" s="198"/>
      <c r="V375" s="198"/>
      <c r="W375" s="198"/>
      <c r="X375" s="198"/>
      <c r="Y375" s="198"/>
      <c r="Z375" s="202" t="str">
        <f t="shared" si="0"/>
        <v>RLOM DistributionChamberElements</v>
      </c>
      <c r="AA375" s="172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</row>
    <row r="376" spans="1:40" ht="21.75" customHeight="1">
      <c r="A376" s="190">
        <v>3</v>
      </c>
      <c r="B376" s="190" t="s">
        <v>538</v>
      </c>
      <c r="C376" s="190">
        <v>34</v>
      </c>
      <c r="D376" s="191" t="s">
        <v>3296</v>
      </c>
      <c r="E376" s="192">
        <v>341</v>
      </c>
      <c r="F376" s="192" t="s">
        <v>3299</v>
      </c>
      <c r="G376" s="191" t="s">
        <v>3281</v>
      </c>
      <c r="H376" s="222" t="str">
        <f>HYPERLINK("http://bsdd.buildingsmart.org/#concept/details/0Bpvfrvy146RA67ox9AQIx","0Bpvfrvy146RA67ox9AQIx")</f>
        <v>0Bpvfrvy146RA67ox9AQIx</v>
      </c>
      <c r="I376" s="122" t="s">
        <v>5015</v>
      </c>
      <c r="J376" s="195" t="s">
        <v>4066</v>
      </c>
      <c r="K376" s="191"/>
      <c r="L376" s="249" t="s">
        <v>3359</v>
      </c>
      <c r="M376" s="198"/>
      <c r="N376" s="203" t="s">
        <v>565</v>
      </c>
      <c r="O376" s="199" t="s">
        <v>566</v>
      </c>
      <c r="P376" s="191" t="s">
        <v>794</v>
      </c>
      <c r="Q376" s="203" t="s">
        <v>569</v>
      </c>
      <c r="R376" s="203" t="s">
        <v>571</v>
      </c>
      <c r="S376" s="203" t="s">
        <v>795</v>
      </c>
      <c r="T376" s="203" t="s">
        <v>910</v>
      </c>
      <c r="U376" s="198"/>
      <c r="V376" s="198"/>
      <c r="W376" s="198"/>
      <c r="X376" s="198"/>
      <c r="Y376" s="198"/>
      <c r="Z376" s="202" t="str">
        <f t="shared" si="0"/>
        <v>RLOM PipeFittings</v>
      </c>
      <c r="AA376" s="172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</row>
    <row r="377" spans="1:40" ht="21.75" customHeight="1">
      <c r="A377" s="190">
        <v>3</v>
      </c>
      <c r="B377" s="190" t="s">
        <v>538</v>
      </c>
      <c r="C377" s="190">
        <v>34</v>
      </c>
      <c r="D377" s="191" t="s">
        <v>3296</v>
      </c>
      <c r="E377" s="192">
        <v>341</v>
      </c>
      <c r="F377" s="192" t="s">
        <v>3299</v>
      </c>
      <c r="G377" s="191" t="s">
        <v>3281</v>
      </c>
      <c r="H377" s="222" t="str">
        <f>HYPERLINK("http://bsdd.buildingsmart.org/#concept/details/1S4mb8gxbFrReXSWu74T5L","1S4mb8gxbFrReXSWu74T5L")</f>
        <v>1S4mb8gxbFrReXSWu74T5L</v>
      </c>
      <c r="I377" s="122" t="s">
        <v>5016</v>
      </c>
      <c r="J377" s="195" t="s">
        <v>4067</v>
      </c>
      <c r="K377" s="191"/>
      <c r="L377" s="249" t="s">
        <v>4041</v>
      </c>
      <c r="M377" s="198"/>
      <c r="N377" s="203"/>
      <c r="O377" s="203"/>
      <c r="P377" s="191"/>
      <c r="Q377" s="203" t="s">
        <v>3254</v>
      </c>
      <c r="R377" s="203"/>
      <c r="S377" s="203"/>
      <c r="T377" s="203"/>
      <c r="U377" s="198"/>
      <c r="V377" s="198"/>
      <c r="W377" s="198"/>
      <c r="X377" s="198"/>
      <c r="Y377" s="198"/>
      <c r="Z377" s="202" t="str">
        <f t="shared" si="0"/>
        <v>RLOM FlowControllers</v>
      </c>
      <c r="AA377" s="172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</row>
    <row r="378" spans="1:40" ht="33" customHeight="1">
      <c r="A378" s="190">
        <v>3</v>
      </c>
      <c r="B378" s="190" t="s">
        <v>538</v>
      </c>
      <c r="C378" s="190">
        <v>34</v>
      </c>
      <c r="D378" s="191" t="s">
        <v>3296</v>
      </c>
      <c r="E378" s="192">
        <v>342</v>
      </c>
      <c r="F378" s="192" t="s">
        <v>3316</v>
      </c>
      <c r="G378" s="191" t="s">
        <v>3281</v>
      </c>
      <c r="H378" s="222" t="str">
        <f>HYPERLINK("http://bsdd.buildingsmart.org/#concept/details/15cFk0Lr916fcuI$ZD7Hpy","15cFk0Lr916fcuI$ZD7Hpy")</f>
        <v>15cFk0Lr916fcuI$ZD7Hpy</v>
      </c>
      <c r="I378" s="120" t="s">
        <v>5017</v>
      </c>
      <c r="J378" s="195" t="s">
        <v>4068</v>
      </c>
      <c r="K378" s="191"/>
      <c r="L378" s="249" t="s">
        <v>4005</v>
      </c>
      <c r="M378" s="198"/>
      <c r="N378" s="203" t="s">
        <v>3318</v>
      </c>
      <c r="O378" s="203" t="s">
        <v>3319</v>
      </c>
      <c r="P378" s="191"/>
      <c r="Q378" s="203" t="s">
        <v>3207</v>
      </c>
      <c r="R378" s="203"/>
      <c r="S378" s="203"/>
      <c r="T378" s="203"/>
      <c r="U378" s="198"/>
      <c r="V378" s="198"/>
      <c r="W378" s="198"/>
      <c r="X378" s="198"/>
      <c r="Y378" s="198"/>
      <c r="Z378" s="202" t="str">
        <f t="shared" si="0"/>
        <v>RLOM FlowTerminals</v>
      </c>
      <c r="AA378" s="172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</row>
    <row r="379" spans="1:40" ht="36" customHeight="1">
      <c r="A379" s="190">
        <v>3</v>
      </c>
      <c r="B379" s="190" t="s">
        <v>538</v>
      </c>
      <c r="C379" s="190">
        <v>34</v>
      </c>
      <c r="D379" s="191" t="s">
        <v>3296</v>
      </c>
      <c r="E379" s="192">
        <v>342</v>
      </c>
      <c r="F379" s="192" t="s">
        <v>3316</v>
      </c>
      <c r="G379" s="191" t="s">
        <v>3281</v>
      </c>
      <c r="H379" s="222" t="str">
        <f>HYPERLINK("http://bsdd.buildingsmart.org/#concept/details/1NKeF1ZB17YhwIdU8b4Pl$","1NKeF1ZB17YhwIdU8b4Pl$")</f>
        <v>1NKeF1ZB17YhwIdU8b4Pl$</v>
      </c>
      <c r="I379" s="120" t="s">
        <v>5018</v>
      </c>
      <c r="J379" s="195" t="s">
        <v>4069</v>
      </c>
      <c r="K379" s="191" t="s">
        <v>3014</v>
      </c>
      <c r="L379" s="249" t="s">
        <v>4015</v>
      </c>
      <c r="M379" s="203" t="s">
        <v>3016</v>
      </c>
      <c r="N379" s="192" t="s">
        <v>1027</v>
      </c>
      <c r="O379" s="192" t="s">
        <v>1032</v>
      </c>
      <c r="P379" s="206" t="s">
        <v>1033</v>
      </c>
      <c r="Q379" s="199" t="s">
        <v>1034</v>
      </c>
      <c r="R379" s="199" t="s">
        <v>1035</v>
      </c>
      <c r="S379" s="199" t="s">
        <v>1037</v>
      </c>
      <c r="T379" s="203"/>
      <c r="U379" s="198"/>
      <c r="V379" s="198"/>
      <c r="W379" s="198"/>
      <c r="X379" s="198"/>
      <c r="Y379" s="198"/>
      <c r="Z379" s="202" t="str">
        <f t="shared" si="0"/>
        <v>RLOM Coverings</v>
      </c>
      <c r="AA379" s="172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</row>
    <row r="380" spans="1:40" ht="33" customHeight="1">
      <c r="A380" s="190"/>
      <c r="B380" s="190"/>
      <c r="C380" s="190">
        <v>34</v>
      </c>
      <c r="D380" s="191" t="s">
        <v>3296</v>
      </c>
      <c r="E380" s="192">
        <v>342</v>
      </c>
      <c r="F380" s="192" t="s">
        <v>3316</v>
      </c>
      <c r="G380" s="191" t="s">
        <v>3281</v>
      </c>
      <c r="H380" s="222" t="str">
        <f>HYPERLINK("http://bsdd.buildingsmart.org/#concept/details/20gh8m1kj3hB1VSUPnJvTT","20gh8m1kj3hB1VSUPnJvTT")</f>
        <v>20gh8m1kj3hB1VSUPnJvTT</v>
      </c>
      <c r="I380" s="119" t="s">
        <v>5019</v>
      </c>
      <c r="J380" s="209" t="s">
        <v>4070</v>
      </c>
      <c r="K380" s="206"/>
      <c r="L380" s="249" t="s">
        <v>3338</v>
      </c>
      <c r="M380" s="198"/>
      <c r="N380" s="203" t="s">
        <v>722</v>
      </c>
      <c r="O380" s="199" t="s">
        <v>724</v>
      </c>
      <c r="P380" s="191" t="s">
        <v>726</v>
      </c>
      <c r="Q380" s="203" t="s">
        <v>809</v>
      </c>
      <c r="R380" s="203" t="s">
        <v>810</v>
      </c>
      <c r="S380" s="203" t="s">
        <v>811</v>
      </c>
      <c r="T380" s="203"/>
      <c r="U380" s="198"/>
      <c r="V380" s="198"/>
      <c r="W380" s="198"/>
      <c r="X380" s="198"/>
      <c r="Y380" s="198"/>
      <c r="Z380" s="202" t="str">
        <f t="shared" si="0"/>
        <v>RLOM PipeSegments</v>
      </c>
      <c r="AA380" s="172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</row>
    <row r="381" spans="1:40" ht="33" customHeight="1">
      <c r="A381" s="190"/>
      <c r="B381" s="190"/>
      <c r="C381" s="190">
        <v>34</v>
      </c>
      <c r="D381" s="191" t="s">
        <v>3296</v>
      </c>
      <c r="E381" s="192">
        <v>342</v>
      </c>
      <c r="F381" s="192" t="s">
        <v>3316</v>
      </c>
      <c r="G381" s="191" t="s">
        <v>3281</v>
      </c>
      <c r="H381" s="222" t="str">
        <f>HYPERLINK("http://bsdd.buildingsmart.org/#concept/details/2lhXUPW2b9C9Kf__FNBOg6","2lhXUPW2b9C9Kf__FNBOg6")</f>
        <v>2lhXUPW2b9C9Kf__FNBOg6</v>
      </c>
      <c r="I381" s="122" t="s">
        <v>5020</v>
      </c>
      <c r="J381" s="195" t="s">
        <v>4071</v>
      </c>
      <c r="K381" s="191"/>
      <c r="L381" s="249" t="s">
        <v>3420</v>
      </c>
      <c r="M381" s="198"/>
      <c r="N381" s="203" t="s">
        <v>565</v>
      </c>
      <c r="O381" s="199" t="s">
        <v>566</v>
      </c>
      <c r="P381" s="191" t="s">
        <v>794</v>
      </c>
      <c r="Q381" s="203" t="s">
        <v>569</v>
      </c>
      <c r="R381" s="203" t="s">
        <v>571</v>
      </c>
      <c r="S381" s="203" t="s">
        <v>795</v>
      </c>
      <c r="T381" s="203" t="s">
        <v>796</v>
      </c>
      <c r="U381" s="198"/>
      <c r="V381" s="198"/>
      <c r="W381" s="198"/>
      <c r="X381" s="198"/>
      <c r="Y381" s="198"/>
      <c r="Z381" s="202" t="str">
        <f t="shared" si="0"/>
        <v>RLOM PipeFittings</v>
      </c>
      <c r="AA381" s="172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</row>
    <row r="382" spans="1:40" ht="33" customHeight="1">
      <c r="A382" s="190"/>
      <c r="B382" s="190"/>
      <c r="C382" s="190">
        <v>34</v>
      </c>
      <c r="D382" s="191" t="s">
        <v>3296</v>
      </c>
      <c r="E382" s="192">
        <v>342</v>
      </c>
      <c r="F382" s="192" t="s">
        <v>3316</v>
      </c>
      <c r="G382" s="191" t="s">
        <v>3281</v>
      </c>
      <c r="H382" s="222" t="str">
        <f>HYPERLINK("http://bsdd.buildingsmart.org/#concept/details/09edR8uDb2Ovu6kC762nnJ","09edR8uDb2Ovu6kC762nnJ")</f>
        <v>09edR8uDb2Ovu6kC762nnJ</v>
      </c>
      <c r="I382" s="122" t="s">
        <v>5021</v>
      </c>
      <c r="J382" s="195" t="s">
        <v>4072</v>
      </c>
      <c r="K382" s="191"/>
      <c r="L382" s="249" t="s">
        <v>3359</v>
      </c>
      <c r="M382" s="198"/>
      <c r="N382" s="203" t="s">
        <v>565</v>
      </c>
      <c r="O382" s="199" t="s">
        <v>566</v>
      </c>
      <c r="P382" s="191" t="s">
        <v>794</v>
      </c>
      <c r="Q382" s="203" t="s">
        <v>569</v>
      </c>
      <c r="R382" s="203" t="s">
        <v>571</v>
      </c>
      <c r="S382" s="203" t="s">
        <v>795</v>
      </c>
      <c r="T382" s="203" t="s">
        <v>910</v>
      </c>
      <c r="U382" s="198"/>
      <c r="V382" s="198"/>
      <c r="W382" s="198"/>
      <c r="X382" s="198"/>
      <c r="Y382" s="198"/>
      <c r="Z382" s="202" t="str">
        <f t="shared" si="0"/>
        <v>RLOM PipeFittings</v>
      </c>
      <c r="AA382" s="172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</row>
    <row r="383" spans="1:40" ht="33" customHeight="1">
      <c r="A383" s="190"/>
      <c r="B383" s="190"/>
      <c r="C383" s="190">
        <v>34</v>
      </c>
      <c r="D383" s="191" t="s">
        <v>3296</v>
      </c>
      <c r="E383" s="192">
        <v>342</v>
      </c>
      <c r="F383" s="192" t="s">
        <v>3316</v>
      </c>
      <c r="G383" s="191" t="s">
        <v>3281</v>
      </c>
      <c r="H383" s="222" t="str">
        <f>HYPERLINK("http://bsdd.buildingsmart.org/#concept/details/3qojuW1k5C89_5p3vK7la0","3qojuW1k5C89_5p3vK7la0")</f>
        <v>3qojuW1k5C89_5p3vK7la0</v>
      </c>
      <c r="I383" s="122" t="s">
        <v>5022</v>
      </c>
      <c r="J383" s="195" t="s">
        <v>4073</v>
      </c>
      <c r="K383" s="191" t="s">
        <v>550</v>
      </c>
      <c r="L383" s="249" t="s">
        <v>4074</v>
      </c>
      <c r="M383" s="198"/>
      <c r="N383" s="203" t="s">
        <v>565</v>
      </c>
      <c r="O383" s="199" t="s">
        <v>566</v>
      </c>
      <c r="P383" s="191" t="s">
        <v>567</v>
      </c>
      <c r="Q383" s="203" t="s">
        <v>569</v>
      </c>
      <c r="R383" s="203" t="s">
        <v>571</v>
      </c>
      <c r="S383" s="203" t="s">
        <v>573</v>
      </c>
      <c r="T383" s="203"/>
      <c r="U383" s="198"/>
      <c r="V383" s="198"/>
      <c r="W383" s="198"/>
      <c r="X383" s="198"/>
      <c r="Y383" s="198"/>
      <c r="Z383" s="202" t="str">
        <f t="shared" si="0"/>
        <v>RLOM PipeFittings</v>
      </c>
      <c r="AA383" s="172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</row>
    <row r="384" spans="1:40" ht="33" customHeight="1">
      <c r="A384" s="190">
        <v>3</v>
      </c>
      <c r="B384" s="190" t="s">
        <v>538</v>
      </c>
      <c r="C384" s="190">
        <v>34</v>
      </c>
      <c r="D384" s="191" t="s">
        <v>3296</v>
      </c>
      <c r="E384" s="192">
        <v>345</v>
      </c>
      <c r="F384" s="192" t="s">
        <v>3331</v>
      </c>
      <c r="G384" s="191" t="s">
        <v>3281</v>
      </c>
      <c r="H384" s="222" t="str">
        <f>HYPERLINK("http://bsdd.buildingsmart.org/#concept/details/0KzJOl9EvAJO5KKr1uSM$D","0KzJOl9EvAJO5KKr1uSM$D")</f>
        <v>0KzJOl9EvAJO5KKr1uSM$D</v>
      </c>
      <c r="I384" s="120" t="s">
        <v>5023</v>
      </c>
      <c r="J384" s="195" t="s">
        <v>4075</v>
      </c>
      <c r="K384" s="191"/>
      <c r="L384" s="249" t="s">
        <v>4076</v>
      </c>
      <c r="M384" s="198"/>
      <c r="N384" s="203"/>
      <c r="O384" s="203"/>
      <c r="P384" s="191"/>
      <c r="Q384" s="203" t="s">
        <v>3207</v>
      </c>
      <c r="R384" s="203"/>
      <c r="S384" s="203"/>
      <c r="T384" s="203"/>
      <c r="U384" s="198"/>
      <c r="V384" s="198"/>
      <c r="W384" s="198"/>
      <c r="X384" s="198"/>
      <c r="Y384" s="198"/>
      <c r="Z384" s="202" t="str">
        <f t="shared" si="0"/>
        <v>RLOM FlowTerminals</v>
      </c>
      <c r="AA384" s="172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</row>
    <row r="385" spans="1:40" ht="33" customHeight="1">
      <c r="A385" s="190">
        <v>3</v>
      </c>
      <c r="B385" s="190" t="s">
        <v>538</v>
      </c>
      <c r="C385" s="190">
        <v>34</v>
      </c>
      <c r="D385" s="191" t="s">
        <v>3296</v>
      </c>
      <c r="E385" s="192">
        <v>345</v>
      </c>
      <c r="F385" s="192" t="s">
        <v>3331</v>
      </c>
      <c r="G385" s="191" t="s">
        <v>3281</v>
      </c>
      <c r="H385" s="222" t="str">
        <f>HYPERLINK("http://bsdd.buildingsmart.org/#concept/details/052DB78ULEC8nDl3zKv4Tp","052DB78ULEC8nDl3zKv4Tp")</f>
        <v>052DB78ULEC8nDl3zKv4Tp</v>
      </c>
      <c r="I385" s="120" t="s">
        <v>5024</v>
      </c>
      <c r="J385" s="195" t="s">
        <v>4077</v>
      </c>
      <c r="K385" s="191" t="s">
        <v>3014</v>
      </c>
      <c r="L385" s="249" t="s">
        <v>4078</v>
      </c>
      <c r="M385" s="203" t="s">
        <v>3016</v>
      </c>
      <c r="N385" s="192" t="s">
        <v>1027</v>
      </c>
      <c r="O385" s="192" t="s">
        <v>1032</v>
      </c>
      <c r="P385" s="206" t="s">
        <v>1033</v>
      </c>
      <c r="Q385" s="199" t="s">
        <v>1034</v>
      </c>
      <c r="R385" s="199" t="s">
        <v>1035</v>
      </c>
      <c r="S385" s="199" t="s">
        <v>1037</v>
      </c>
      <c r="T385" s="203"/>
      <c r="U385" s="198"/>
      <c r="V385" s="198"/>
      <c r="W385" s="198"/>
      <c r="X385" s="198"/>
      <c r="Y385" s="198"/>
      <c r="Z385" s="202" t="str">
        <f t="shared" si="0"/>
        <v>RLOM Coverings</v>
      </c>
      <c r="AA385" s="172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</row>
    <row r="386" spans="1:40" ht="33" customHeight="1">
      <c r="A386" s="190"/>
      <c r="B386" s="190"/>
      <c r="C386" s="190">
        <v>34</v>
      </c>
      <c r="D386" s="191" t="s">
        <v>3296</v>
      </c>
      <c r="E386" s="192">
        <v>345</v>
      </c>
      <c r="F386" s="192" t="s">
        <v>3331</v>
      </c>
      <c r="G386" s="191" t="s">
        <v>3281</v>
      </c>
      <c r="H386" s="222" t="str">
        <f>HYPERLINK("http://bsdd.buildingsmart.org/#concept/details/1nHXfkhoD93wrYYkz9n5n4","1nHXfkhoD93wrYYkz9n5n4")</f>
        <v>1nHXfkhoD93wrYYkz9n5n4</v>
      </c>
      <c r="I386" s="119" t="s">
        <v>5025</v>
      </c>
      <c r="J386" s="209" t="s">
        <v>4079</v>
      </c>
      <c r="K386" s="206"/>
      <c r="L386" s="251" t="s">
        <v>4080</v>
      </c>
      <c r="M386" s="198"/>
      <c r="N386" s="203" t="s">
        <v>722</v>
      </c>
      <c r="O386" s="199" t="s">
        <v>724</v>
      </c>
      <c r="P386" s="191" t="s">
        <v>726</v>
      </c>
      <c r="Q386" s="203" t="s">
        <v>809</v>
      </c>
      <c r="R386" s="203" t="s">
        <v>810</v>
      </c>
      <c r="S386" s="203" t="s">
        <v>811</v>
      </c>
      <c r="T386" s="203"/>
      <c r="U386" s="198"/>
      <c r="V386" s="198"/>
      <c r="W386" s="198"/>
      <c r="X386" s="198"/>
      <c r="Y386" s="198"/>
      <c r="Z386" s="202" t="str">
        <f t="shared" si="0"/>
        <v>RLOM PipeSegments</v>
      </c>
      <c r="AA386" s="172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</row>
    <row r="387" spans="1:40" ht="33" customHeight="1">
      <c r="A387" s="190"/>
      <c r="B387" s="190"/>
      <c r="C387" s="190">
        <v>34</v>
      </c>
      <c r="D387" s="191" t="s">
        <v>3296</v>
      </c>
      <c r="E387" s="192">
        <v>345</v>
      </c>
      <c r="F387" s="192" t="s">
        <v>3331</v>
      </c>
      <c r="G387" s="191" t="s">
        <v>3281</v>
      </c>
      <c r="H387" s="222" t="str">
        <f>HYPERLINK("http://bsdd.buildingsmart.org/#concept/details/0RSBYST2rEMvxfQC1N$v3Q","0RSBYST2rEMvxfQC1N$v3Q")</f>
        <v>0RSBYST2rEMvxfQC1N$v3Q</v>
      </c>
      <c r="I387" s="122" t="s">
        <v>5026</v>
      </c>
      <c r="J387" s="195" t="s">
        <v>4081</v>
      </c>
      <c r="K387" s="191"/>
      <c r="L387" s="251" t="s">
        <v>4082</v>
      </c>
      <c r="M387" s="198"/>
      <c r="N387" s="203" t="s">
        <v>565</v>
      </c>
      <c r="O387" s="199" t="s">
        <v>566</v>
      </c>
      <c r="P387" s="191" t="s">
        <v>794</v>
      </c>
      <c r="Q387" s="203" t="s">
        <v>569</v>
      </c>
      <c r="R387" s="203" t="s">
        <v>571</v>
      </c>
      <c r="S387" s="203" t="s">
        <v>795</v>
      </c>
      <c r="T387" s="203" t="s">
        <v>796</v>
      </c>
      <c r="U387" s="198"/>
      <c r="V387" s="198"/>
      <c r="W387" s="198"/>
      <c r="X387" s="198"/>
      <c r="Y387" s="198"/>
      <c r="Z387" s="202" t="str">
        <f t="shared" si="0"/>
        <v>RLOM PipeFittings</v>
      </c>
      <c r="AA387" s="172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</row>
    <row r="388" spans="1:40" ht="33" customHeight="1">
      <c r="A388" s="190"/>
      <c r="B388" s="190"/>
      <c r="C388" s="190">
        <v>34</v>
      </c>
      <c r="D388" s="191" t="s">
        <v>3296</v>
      </c>
      <c r="E388" s="192">
        <v>345</v>
      </c>
      <c r="F388" s="192" t="s">
        <v>3331</v>
      </c>
      <c r="G388" s="191" t="s">
        <v>3281</v>
      </c>
      <c r="H388" s="222" t="str">
        <f>HYPERLINK("http://bsdd.buildingsmart.org/#concept/details/2NBIO5cij6KO56SSvuRGLz","2NBIO5cij6KO56SSvuRGLz")</f>
        <v>2NBIO5cij6KO56SSvuRGLz</v>
      </c>
      <c r="I388" s="122" t="s">
        <v>5027</v>
      </c>
      <c r="J388" s="195" t="s">
        <v>4083</v>
      </c>
      <c r="K388" s="191"/>
      <c r="L388" s="251" t="s">
        <v>4084</v>
      </c>
      <c r="M388" s="198"/>
      <c r="N388" s="203" t="s">
        <v>565</v>
      </c>
      <c r="O388" s="199" t="s">
        <v>566</v>
      </c>
      <c r="P388" s="191" t="s">
        <v>794</v>
      </c>
      <c r="Q388" s="203" t="s">
        <v>569</v>
      </c>
      <c r="R388" s="203" t="s">
        <v>571</v>
      </c>
      <c r="S388" s="203" t="s">
        <v>795</v>
      </c>
      <c r="T388" s="203" t="s">
        <v>910</v>
      </c>
      <c r="U388" s="198"/>
      <c r="V388" s="198"/>
      <c r="W388" s="198"/>
      <c r="X388" s="198"/>
      <c r="Y388" s="198"/>
      <c r="Z388" s="202" t="str">
        <f t="shared" si="0"/>
        <v>RLOM PipeFittings</v>
      </c>
      <c r="AA388" s="172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</row>
    <row r="389" spans="1:40" ht="33" customHeight="1">
      <c r="A389" s="190"/>
      <c r="B389" s="190"/>
      <c r="C389" s="190">
        <v>34</v>
      </c>
      <c r="D389" s="191" t="s">
        <v>3296</v>
      </c>
      <c r="E389" s="192">
        <v>345</v>
      </c>
      <c r="F389" s="192" t="s">
        <v>3331</v>
      </c>
      <c r="G389" s="191" t="s">
        <v>3281</v>
      </c>
      <c r="H389" s="222" t="str">
        <f>HYPERLINK("http://bsdd.buildingsmart.org/#concept/details/2hW7t_HRv37QQWggDt4xJr","2hW7t_HRv37QQWggDt4xJr")</f>
        <v>2hW7t_HRv37QQWggDt4xJr</v>
      </c>
      <c r="I389" s="122" t="s">
        <v>5028</v>
      </c>
      <c r="J389" s="195" t="s">
        <v>4085</v>
      </c>
      <c r="K389" s="191" t="s">
        <v>550</v>
      </c>
      <c r="L389" s="251" t="s">
        <v>4086</v>
      </c>
      <c r="M389" s="198"/>
      <c r="N389" s="203" t="s">
        <v>565</v>
      </c>
      <c r="O389" s="199" t="s">
        <v>566</v>
      </c>
      <c r="P389" s="191" t="s">
        <v>567</v>
      </c>
      <c r="Q389" s="203" t="s">
        <v>569</v>
      </c>
      <c r="R389" s="203" t="s">
        <v>571</v>
      </c>
      <c r="S389" s="203" t="s">
        <v>573</v>
      </c>
      <c r="T389" s="203"/>
      <c r="U389" s="198"/>
      <c r="V389" s="198"/>
      <c r="W389" s="198"/>
      <c r="X389" s="198"/>
      <c r="Y389" s="198"/>
      <c r="Z389" s="202" t="str">
        <f t="shared" si="0"/>
        <v>RLOM PipeFittings</v>
      </c>
      <c r="AA389" s="172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</row>
    <row r="390" spans="1:40" ht="33" customHeight="1">
      <c r="A390" s="190">
        <v>3</v>
      </c>
      <c r="B390" s="190" t="s">
        <v>538</v>
      </c>
      <c r="C390" s="190">
        <v>34</v>
      </c>
      <c r="D390" s="191" t="s">
        <v>3296</v>
      </c>
      <c r="E390" s="192">
        <v>345</v>
      </c>
      <c r="F390" s="192" t="s">
        <v>3331</v>
      </c>
      <c r="G390" s="191" t="s">
        <v>3281</v>
      </c>
      <c r="H390" s="208" t="str">
        <f>HYPERLINK("http://bsdd.buildingsmart.org/#concept/details/1d8Z1qeMf7OPyD31L3LAeW","1d8Z1qeMf7OPyD31L3LAeW")</f>
        <v>1d8Z1qeMf7OPyD31L3LAeW</v>
      </c>
      <c r="I390" s="119" t="s">
        <v>5029</v>
      </c>
      <c r="J390" s="209" t="s">
        <v>4087</v>
      </c>
      <c r="K390" s="191"/>
      <c r="L390" s="251" t="s">
        <v>4088</v>
      </c>
      <c r="M390" s="198"/>
      <c r="N390" s="199" t="s">
        <v>921</v>
      </c>
      <c r="O390" s="199" t="s">
        <v>935</v>
      </c>
      <c r="P390" s="206"/>
      <c r="Q390" s="203" t="s">
        <v>936</v>
      </c>
      <c r="R390" s="203" t="s">
        <v>937</v>
      </c>
      <c r="S390" s="203" t="s">
        <v>939</v>
      </c>
      <c r="T390" s="203" t="s">
        <v>3348</v>
      </c>
      <c r="U390" s="198"/>
      <c r="V390" s="198"/>
      <c r="W390" s="196"/>
      <c r="X390" s="196"/>
      <c r="Y390" s="196"/>
      <c r="Z390" s="202" t="str">
        <f t="shared" si="0"/>
        <v>RLOM Tanks</v>
      </c>
      <c r="AA390" s="172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</row>
    <row r="391" spans="1:40" ht="33" customHeight="1">
      <c r="A391" s="190">
        <v>3</v>
      </c>
      <c r="B391" s="190" t="s">
        <v>538</v>
      </c>
      <c r="C391" s="190">
        <v>34</v>
      </c>
      <c r="D391" s="191" t="s">
        <v>3296</v>
      </c>
      <c r="E391" s="192">
        <v>345</v>
      </c>
      <c r="F391" s="192" t="s">
        <v>3331</v>
      </c>
      <c r="G391" s="191" t="s">
        <v>3281</v>
      </c>
      <c r="H391" s="222" t="str">
        <f>HYPERLINK("http://bsdd.buildingsmart.org/#concept/details/1n7US$Eh14QfKIAqSlU0ea","1n7US$Eh14QfKIAqSlU0ea")</f>
        <v>1n7US$Eh14QfKIAqSlU0ea</v>
      </c>
      <c r="I391" s="120" t="s">
        <v>3349</v>
      </c>
      <c r="J391" s="195" t="s">
        <v>4089</v>
      </c>
      <c r="K391" s="191"/>
      <c r="L391" s="251" t="s">
        <v>4090</v>
      </c>
      <c r="M391" s="198"/>
      <c r="N391" s="203"/>
      <c r="O391" s="203"/>
      <c r="P391" s="191"/>
      <c r="Q391" s="203" t="s">
        <v>3254</v>
      </c>
      <c r="R391" s="203"/>
      <c r="S391" s="203"/>
      <c r="T391" s="203"/>
      <c r="U391" s="198"/>
      <c r="V391" s="198"/>
      <c r="W391" s="198"/>
      <c r="X391" s="198"/>
      <c r="Y391" s="198"/>
      <c r="Z391" s="202" t="str">
        <f t="shared" si="0"/>
        <v>RLOM FlowControllers</v>
      </c>
      <c r="AA391" s="172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</row>
    <row r="392" spans="1:40" ht="33" customHeight="1">
      <c r="A392" s="190">
        <v>3</v>
      </c>
      <c r="B392" s="190" t="s">
        <v>538</v>
      </c>
      <c r="C392" s="190">
        <v>34</v>
      </c>
      <c r="D392" s="191" t="s">
        <v>3296</v>
      </c>
      <c r="E392" s="192">
        <v>345</v>
      </c>
      <c r="F392" s="192" t="s">
        <v>3331</v>
      </c>
      <c r="G392" s="191" t="s">
        <v>3281</v>
      </c>
      <c r="H392" s="222" t="str">
        <f>HYPERLINK("http://bsdd.buildingsmart.org/#concept/details/0Zl2LUGgz6FhiZO3ayv2ZC","0Zl2LUGgz6FhiZO3ayv2ZC")</f>
        <v>0Zl2LUGgz6FhiZO3ayv2ZC</v>
      </c>
      <c r="I392" s="120" t="s">
        <v>5030</v>
      </c>
      <c r="J392" s="195" t="s">
        <v>4091</v>
      </c>
      <c r="K392" s="213" t="s">
        <v>3353</v>
      </c>
      <c r="L392" s="251" t="s">
        <v>4092</v>
      </c>
      <c r="M392" s="198"/>
      <c r="N392" s="203"/>
      <c r="O392" s="203"/>
      <c r="P392" s="191"/>
      <c r="Q392" s="203" t="s">
        <v>3254</v>
      </c>
      <c r="R392" s="203"/>
      <c r="S392" s="203"/>
      <c r="T392" s="203"/>
      <c r="U392" s="198"/>
      <c r="V392" s="198"/>
      <c r="W392" s="198"/>
      <c r="X392" s="198"/>
      <c r="Y392" s="198"/>
      <c r="Z392" s="202" t="str">
        <f t="shared" si="0"/>
        <v>RLOM FlowControllers</v>
      </c>
      <c r="AA392" s="172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</row>
    <row r="393" spans="1:40" ht="33" customHeight="1">
      <c r="A393" s="190">
        <v>3</v>
      </c>
      <c r="B393" s="190" t="s">
        <v>538</v>
      </c>
      <c r="C393" s="190">
        <v>34</v>
      </c>
      <c r="D393" s="191" t="s">
        <v>3296</v>
      </c>
      <c r="E393" s="192">
        <v>345</v>
      </c>
      <c r="F393" s="192" t="s">
        <v>3331</v>
      </c>
      <c r="G393" s="191" t="s">
        <v>3281</v>
      </c>
      <c r="H393" s="222" t="str">
        <f>HYPERLINK("http://bsdd.buildingsmart.org/#concept/details/2hRnhFbN58K9CtWURhgXrp","2hRnhFbN58K9CtWURhgXrp")</f>
        <v>2hRnhFbN58K9CtWURhgXrp</v>
      </c>
      <c r="I393" s="123" t="s">
        <v>3356</v>
      </c>
      <c r="J393" s="195" t="s">
        <v>4093</v>
      </c>
      <c r="K393" s="191"/>
      <c r="L393" s="251" t="s">
        <v>4094</v>
      </c>
      <c r="M393" s="198"/>
      <c r="N393" s="203" t="s">
        <v>1443</v>
      </c>
      <c r="O393" s="203" t="s">
        <v>1444</v>
      </c>
      <c r="P393" s="191"/>
      <c r="Q393" s="203" t="s">
        <v>986</v>
      </c>
      <c r="R393" s="203" t="s">
        <v>987</v>
      </c>
      <c r="S393" s="203" t="s">
        <v>1613</v>
      </c>
      <c r="T393" s="203" t="s">
        <v>4095</v>
      </c>
      <c r="U393" s="198"/>
      <c r="V393" s="198"/>
      <c r="W393" s="198"/>
      <c r="X393" s="198"/>
      <c r="Y393" s="198"/>
      <c r="Z393" s="202" t="str">
        <f t="shared" si="0"/>
        <v>RLOM Valves</v>
      </c>
      <c r="AA393" s="172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</row>
    <row r="394" spans="1:40" ht="12.75" customHeight="1">
      <c r="A394" s="190">
        <v>3</v>
      </c>
      <c r="B394" s="190" t="s">
        <v>538</v>
      </c>
      <c r="C394" s="190">
        <v>34</v>
      </c>
      <c r="D394" s="191" t="s">
        <v>3296</v>
      </c>
      <c r="E394" s="192">
        <v>346</v>
      </c>
      <c r="F394" s="192" t="s">
        <v>3362</v>
      </c>
      <c r="G394" s="233"/>
      <c r="H394" s="222" t="str">
        <f>HYPERLINK("http://bsdd.buildingsmart.org/#concept/details/0bEgg2_SbF8B0dpWiFSX5a","0bEgg2_SbF8B0dpWiFSX5a")</f>
        <v>0bEgg2_SbF8B0dpWiFSX5a</v>
      </c>
      <c r="I394" s="120" t="s">
        <v>5031</v>
      </c>
      <c r="J394" s="195" t="s">
        <v>4096</v>
      </c>
      <c r="K394" s="191" t="s">
        <v>3014</v>
      </c>
      <c r="L394" s="251" t="s">
        <v>4097</v>
      </c>
      <c r="M394" s="203" t="s">
        <v>3016</v>
      </c>
      <c r="N394" s="192" t="s">
        <v>1027</v>
      </c>
      <c r="O394" s="192" t="s">
        <v>1032</v>
      </c>
      <c r="P394" s="206" t="s">
        <v>1033</v>
      </c>
      <c r="Q394" s="199" t="s">
        <v>1034</v>
      </c>
      <c r="R394" s="199" t="s">
        <v>1035</v>
      </c>
      <c r="S394" s="199" t="s">
        <v>1037</v>
      </c>
      <c r="T394" s="203"/>
      <c r="U394" s="198"/>
      <c r="V394" s="198"/>
      <c r="W394" s="198"/>
      <c r="X394" s="198"/>
      <c r="Y394" s="198"/>
      <c r="Z394" s="202" t="str">
        <f t="shared" si="0"/>
        <v>RLOM Coverings</v>
      </c>
      <c r="AA394" s="172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</row>
    <row r="395" spans="1:40" ht="21.75" customHeight="1">
      <c r="A395" s="190">
        <v>3</v>
      </c>
      <c r="B395" s="190" t="s">
        <v>538</v>
      </c>
      <c r="C395" s="190">
        <v>34</v>
      </c>
      <c r="D395" s="191" t="s">
        <v>3296</v>
      </c>
      <c r="E395" s="192">
        <v>346</v>
      </c>
      <c r="F395" s="192" t="s">
        <v>3364</v>
      </c>
      <c r="G395" s="233"/>
      <c r="H395" s="222" t="str">
        <f>HYPERLINK("http://bsdd.buildingsmart.org/#concept/details/3_dtocBcrFCRBFp$gPsy$G","3_dtocBcrFCRBFp$gPsy$G")</f>
        <v>3_dtocBcrFCRBFp$gPsy$G</v>
      </c>
      <c r="I395" s="119" t="s">
        <v>5032</v>
      </c>
      <c r="J395" s="209" t="s">
        <v>4098</v>
      </c>
      <c r="K395" s="206"/>
      <c r="L395" s="251" t="s">
        <v>4099</v>
      </c>
      <c r="M395" s="198"/>
      <c r="N395" s="203" t="s">
        <v>722</v>
      </c>
      <c r="O395" s="199" t="s">
        <v>724</v>
      </c>
      <c r="P395" s="191" t="s">
        <v>726</v>
      </c>
      <c r="Q395" s="203" t="s">
        <v>809</v>
      </c>
      <c r="R395" s="203" t="s">
        <v>810</v>
      </c>
      <c r="S395" s="203" t="s">
        <v>811</v>
      </c>
      <c r="T395" s="203"/>
      <c r="U395" s="198"/>
      <c r="V395" s="198"/>
      <c r="W395" s="198"/>
      <c r="X395" s="198"/>
      <c r="Y395" s="198"/>
      <c r="Z395" s="202" t="str">
        <f t="shared" si="0"/>
        <v>RLOM PipeSegments</v>
      </c>
      <c r="AA395" s="172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</row>
    <row r="396" spans="1:40" ht="21.75" customHeight="1">
      <c r="A396" s="190">
        <v>3</v>
      </c>
      <c r="B396" s="190" t="s">
        <v>538</v>
      </c>
      <c r="C396" s="190">
        <v>34</v>
      </c>
      <c r="D396" s="191" t="s">
        <v>3296</v>
      </c>
      <c r="E396" s="192">
        <v>346</v>
      </c>
      <c r="F396" s="192" t="s">
        <v>3364</v>
      </c>
      <c r="G396" s="233"/>
      <c r="H396" s="222" t="str">
        <f>HYPERLINK("http://bsdd.buildingsmart.org/#concept/details/0bLPPe9Y90U9SAcyC6X0iL","0bLPPe9Y90U9SAcyC6X0iL")</f>
        <v>0bLPPe9Y90U9SAcyC6X0iL</v>
      </c>
      <c r="I396" s="122" t="s">
        <v>5033</v>
      </c>
      <c r="J396" s="195" t="s">
        <v>4100</v>
      </c>
      <c r="K396" s="191"/>
      <c r="L396" s="251" t="s">
        <v>4101</v>
      </c>
      <c r="M396" s="198"/>
      <c r="N396" s="203" t="s">
        <v>565</v>
      </c>
      <c r="O396" s="199" t="s">
        <v>566</v>
      </c>
      <c r="P396" s="191" t="s">
        <v>794</v>
      </c>
      <c r="Q396" s="203" t="s">
        <v>569</v>
      </c>
      <c r="R396" s="203" t="s">
        <v>571</v>
      </c>
      <c r="S396" s="203" t="s">
        <v>795</v>
      </c>
      <c r="T396" s="203" t="s">
        <v>796</v>
      </c>
      <c r="U396" s="198"/>
      <c r="V396" s="198"/>
      <c r="W396" s="198"/>
      <c r="X396" s="198"/>
      <c r="Y396" s="198"/>
      <c r="Z396" s="202" t="str">
        <f t="shared" si="0"/>
        <v>RLOM PipeFittings</v>
      </c>
      <c r="AA396" s="172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</row>
    <row r="397" spans="1:40" ht="24" customHeight="1">
      <c r="A397" s="190">
        <v>3</v>
      </c>
      <c r="B397" s="190" t="s">
        <v>538</v>
      </c>
      <c r="C397" s="190">
        <v>34</v>
      </c>
      <c r="D397" s="191" t="s">
        <v>3296</v>
      </c>
      <c r="E397" s="192">
        <v>346</v>
      </c>
      <c r="F397" s="192" t="s">
        <v>3364</v>
      </c>
      <c r="G397" s="233"/>
      <c r="H397" s="222" t="str">
        <f>HYPERLINK("http://bsdd.buildingsmart.org/#concept/details/33n_PtQqX3Wf5psP_YiNik","33n_PtQqX3Wf5psP_YiNik")</f>
        <v>33n_PtQqX3Wf5psP_YiNik</v>
      </c>
      <c r="I397" s="122" t="s">
        <v>5034</v>
      </c>
      <c r="J397" s="195" t="s">
        <v>4102</v>
      </c>
      <c r="K397" s="191"/>
      <c r="L397" s="251" t="s">
        <v>4103</v>
      </c>
      <c r="M397" s="198"/>
      <c r="N397" s="203" t="s">
        <v>565</v>
      </c>
      <c r="O397" s="199" t="s">
        <v>566</v>
      </c>
      <c r="P397" s="191" t="s">
        <v>794</v>
      </c>
      <c r="Q397" s="203" t="s">
        <v>569</v>
      </c>
      <c r="R397" s="203" t="s">
        <v>571</v>
      </c>
      <c r="S397" s="203" t="s">
        <v>795</v>
      </c>
      <c r="T397" s="203" t="s">
        <v>910</v>
      </c>
      <c r="U397" s="198"/>
      <c r="V397" s="198"/>
      <c r="W397" s="198"/>
      <c r="X397" s="198"/>
      <c r="Y397" s="198"/>
      <c r="Z397" s="202" t="str">
        <f t="shared" si="0"/>
        <v>RLOM PipeFittings</v>
      </c>
      <c r="AA397" s="172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</row>
    <row r="398" spans="1:40" ht="21.75" customHeight="1">
      <c r="A398" s="190">
        <v>3</v>
      </c>
      <c r="B398" s="190" t="s">
        <v>538</v>
      </c>
      <c r="C398" s="190">
        <v>34</v>
      </c>
      <c r="D398" s="191" t="s">
        <v>3296</v>
      </c>
      <c r="E398" s="192">
        <v>346</v>
      </c>
      <c r="F398" s="192" t="s">
        <v>3364</v>
      </c>
      <c r="G398" s="233"/>
      <c r="H398" s="222" t="str">
        <f>HYPERLINK("http://bsdd.buildingsmart.org/#concept/details/2V0HE78SnF1e_vht4d2NP1","2V0HE78SnF1e_vht4d2NP1")</f>
        <v>2V0HE78SnF1e_vht4d2NP1</v>
      </c>
      <c r="I398" s="122" t="s">
        <v>5035</v>
      </c>
      <c r="J398" s="195" t="s">
        <v>4104</v>
      </c>
      <c r="K398" s="191" t="s">
        <v>550</v>
      </c>
      <c r="L398" s="251" t="s">
        <v>4105</v>
      </c>
      <c r="M398" s="198"/>
      <c r="N398" s="203" t="s">
        <v>565</v>
      </c>
      <c r="O398" s="199" t="s">
        <v>566</v>
      </c>
      <c r="P398" s="191" t="s">
        <v>567</v>
      </c>
      <c r="Q398" s="203" t="s">
        <v>569</v>
      </c>
      <c r="R398" s="203" t="s">
        <v>571</v>
      </c>
      <c r="S398" s="203" t="s">
        <v>573</v>
      </c>
      <c r="T398" s="203"/>
      <c r="U398" s="198"/>
      <c r="V398" s="198"/>
      <c r="W398" s="198"/>
      <c r="X398" s="198"/>
      <c r="Y398" s="198"/>
      <c r="Z398" s="202" t="str">
        <f t="shared" si="0"/>
        <v>RLOM PipeFittings</v>
      </c>
      <c r="AA398" s="172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</row>
    <row r="399" spans="1:40" ht="12.75" customHeight="1">
      <c r="A399" s="190">
        <v>3</v>
      </c>
      <c r="B399" s="190" t="s">
        <v>538</v>
      </c>
      <c r="C399" s="190">
        <v>34</v>
      </c>
      <c r="D399" s="191" t="s">
        <v>3296</v>
      </c>
      <c r="E399" s="192">
        <v>347</v>
      </c>
      <c r="F399" s="192" t="s">
        <v>3362</v>
      </c>
      <c r="G399" s="233"/>
      <c r="H399" s="222" t="str">
        <f>HYPERLINK("http://bsdd.buildingsmart.org/#concept/details/1vBcG1g7D5ROCFrUINw0s8","1vBcG1g7D5ROCFrUINw0s8")</f>
        <v>1vBcG1g7D5ROCFrUINw0s8</v>
      </c>
      <c r="I399" s="120" t="s">
        <v>5036</v>
      </c>
      <c r="J399" s="195" t="s">
        <v>4106</v>
      </c>
      <c r="K399" s="191"/>
      <c r="L399" s="251" t="s">
        <v>4107</v>
      </c>
      <c r="M399" s="198"/>
      <c r="N399" s="203"/>
      <c r="O399" s="203"/>
      <c r="P399" s="191"/>
      <c r="Q399" s="203" t="s">
        <v>3207</v>
      </c>
      <c r="R399" s="203"/>
      <c r="S399" s="203"/>
      <c r="T399" s="203"/>
      <c r="U399" s="198"/>
      <c r="V399" s="198"/>
      <c r="W399" s="198"/>
      <c r="X399" s="198"/>
      <c r="Y399" s="198"/>
      <c r="Z399" s="202" t="str">
        <f t="shared" si="0"/>
        <v>RLOM FlowTerminals</v>
      </c>
      <c r="AA399" s="172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</row>
    <row r="400" spans="1:40" ht="18" customHeight="1">
      <c r="A400" s="190">
        <v>3</v>
      </c>
      <c r="B400" s="190" t="s">
        <v>538</v>
      </c>
      <c r="C400" s="190">
        <v>34</v>
      </c>
      <c r="D400" s="191" t="s">
        <v>3296</v>
      </c>
      <c r="E400" s="192">
        <v>347</v>
      </c>
      <c r="F400" s="192" t="s">
        <v>3362</v>
      </c>
      <c r="G400" s="233"/>
      <c r="H400" s="222" t="str">
        <f>HYPERLINK("http://bsdd.buildingsmart.org/#concept/details/0MwBz1Y39EZxbRapRo2YSx","0MwBz1Y39EZxbRapRo2YSx")</f>
        <v>0MwBz1Y39EZxbRapRo2YSx</v>
      </c>
      <c r="I400" s="119" t="s">
        <v>5037</v>
      </c>
      <c r="J400" s="209" t="s">
        <v>4108</v>
      </c>
      <c r="K400" s="206"/>
      <c r="L400" s="251" t="s">
        <v>4109</v>
      </c>
      <c r="M400" s="198"/>
      <c r="N400" s="203" t="s">
        <v>722</v>
      </c>
      <c r="O400" s="199" t="s">
        <v>724</v>
      </c>
      <c r="P400" s="191" t="s">
        <v>726</v>
      </c>
      <c r="Q400" s="203" t="s">
        <v>809</v>
      </c>
      <c r="R400" s="203" t="s">
        <v>810</v>
      </c>
      <c r="S400" s="203" t="s">
        <v>811</v>
      </c>
      <c r="T400" s="203"/>
      <c r="U400" s="198"/>
      <c r="V400" s="198"/>
      <c r="W400" s="198"/>
      <c r="X400" s="198"/>
      <c r="Y400" s="198"/>
      <c r="Z400" s="202" t="str">
        <f t="shared" si="0"/>
        <v>RLOM PipeSegments</v>
      </c>
      <c r="AA400" s="172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</row>
    <row r="401" spans="1:40" ht="21.75" customHeight="1">
      <c r="A401" s="190">
        <v>3</v>
      </c>
      <c r="B401" s="190" t="s">
        <v>538</v>
      </c>
      <c r="C401" s="190">
        <v>34</v>
      </c>
      <c r="D401" s="191" t="s">
        <v>3296</v>
      </c>
      <c r="E401" s="192">
        <v>347</v>
      </c>
      <c r="F401" s="192" t="s">
        <v>3362</v>
      </c>
      <c r="G401" s="233"/>
      <c r="H401" s="222" t="str">
        <f>HYPERLINK("http://bsdd.buildingsmart.org/#concept/details/0WRqQKULXBXeX0P798d9wa","0WRqQKULXBXeX0P798d9wa")</f>
        <v>0WRqQKULXBXeX0P798d9wa</v>
      </c>
      <c r="I401" s="122" t="s">
        <v>5038</v>
      </c>
      <c r="J401" s="195" t="s">
        <v>4110</v>
      </c>
      <c r="K401" s="191"/>
      <c r="L401" s="251" t="s">
        <v>4111</v>
      </c>
      <c r="M401" s="198"/>
      <c r="N401" s="203" t="s">
        <v>565</v>
      </c>
      <c r="O401" s="199" t="s">
        <v>566</v>
      </c>
      <c r="P401" s="191" t="s">
        <v>794</v>
      </c>
      <c r="Q401" s="203" t="s">
        <v>569</v>
      </c>
      <c r="R401" s="203" t="s">
        <v>571</v>
      </c>
      <c r="S401" s="203" t="s">
        <v>795</v>
      </c>
      <c r="T401" s="203" t="s">
        <v>796</v>
      </c>
      <c r="U401" s="198"/>
      <c r="V401" s="198"/>
      <c r="W401" s="198"/>
      <c r="X401" s="198"/>
      <c r="Y401" s="198"/>
      <c r="Z401" s="202" t="str">
        <f t="shared" si="0"/>
        <v>RLOM PipeFittings</v>
      </c>
      <c r="AA401" s="172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</row>
    <row r="402" spans="1:40" ht="12.75" customHeight="1">
      <c r="A402" s="190">
        <v>3</v>
      </c>
      <c r="B402" s="190" t="s">
        <v>538</v>
      </c>
      <c r="C402" s="190">
        <v>34</v>
      </c>
      <c r="D402" s="191" t="s">
        <v>3296</v>
      </c>
      <c r="E402" s="192">
        <v>347</v>
      </c>
      <c r="F402" s="192" t="s">
        <v>3362</v>
      </c>
      <c r="G402" s="233"/>
      <c r="H402" s="222" t="str">
        <f>HYPERLINK("http://bsdd.buildingsmart.org/#concept/details/3p8IKa2EP8nu2I3GO3Qxzt","3p8IKa2EP8nu2I3GO3Qxzt")</f>
        <v>3p8IKa2EP8nu2I3GO3Qxzt</v>
      </c>
      <c r="I402" s="122" t="s">
        <v>5039</v>
      </c>
      <c r="J402" s="195" t="s">
        <v>3377</v>
      </c>
      <c r="K402" s="191"/>
      <c r="L402" s="251" t="s">
        <v>4112</v>
      </c>
      <c r="M402" s="198"/>
      <c r="N402" s="203" t="s">
        <v>565</v>
      </c>
      <c r="O402" s="199" t="s">
        <v>566</v>
      </c>
      <c r="P402" s="191" t="s">
        <v>794</v>
      </c>
      <c r="Q402" s="203" t="s">
        <v>569</v>
      </c>
      <c r="R402" s="203" t="s">
        <v>571</v>
      </c>
      <c r="S402" s="203" t="s">
        <v>795</v>
      </c>
      <c r="T402" s="203" t="s">
        <v>910</v>
      </c>
      <c r="U402" s="198"/>
      <c r="V402" s="198"/>
      <c r="W402" s="198"/>
      <c r="X402" s="198"/>
      <c r="Y402" s="198"/>
      <c r="Z402" s="202" t="str">
        <f t="shared" si="0"/>
        <v>RLOM PipeFittings</v>
      </c>
      <c r="AA402" s="172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</row>
    <row r="403" spans="1:40" ht="12.75" customHeight="1">
      <c r="A403" s="190">
        <v>3</v>
      </c>
      <c r="B403" s="190" t="s">
        <v>538</v>
      </c>
      <c r="C403" s="190">
        <v>34</v>
      </c>
      <c r="D403" s="191" t="s">
        <v>3296</v>
      </c>
      <c r="E403" s="192">
        <v>347</v>
      </c>
      <c r="F403" s="192" t="s">
        <v>3362</v>
      </c>
      <c r="G403" s="233"/>
      <c r="H403" s="222" t="str">
        <f>HYPERLINK("http://bsdd.buildingsmart.org/#concept/details/3cXZtFxNPEX9WS5g6Gd2Yl","3cXZtFxNPEX9WS5g6Gd2Yl")</f>
        <v>3cXZtFxNPEX9WS5g6Gd2Yl</v>
      </c>
      <c r="I403" s="122" t="s">
        <v>5040</v>
      </c>
      <c r="J403" s="195" t="s">
        <v>4113</v>
      </c>
      <c r="K403" s="191" t="s">
        <v>550</v>
      </c>
      <c r="L403" s="251" t="s">
        <v>4114</v>
      </c>
      <c r="M403" s="198"/>
      <c r="N403" s="203" t="s">
        <v>565</v>
      </c>
      <c r="O403" s="199" t="s">
        <v>566</v>
      </c>
      <c r="P403" s="191" t="s">
        <v>567</v>
      </c>
      <c r="Q403" s="203" t="s">
        <v>569</v>
      </c>
      <c r="R403" s="203" t="s">
        <v>571</v>
      </c>
      <c r="S403" s="203" t="s">
        <v>573</v>
      </c>
      <c r="T403" s="203"/>
      <c r="U403" s="198"/>
      <c r="V403" s="198"/>
      <c r="W403" s="198"/>
      <c r="X403" s="198"/>
      <c r="Y403" s="198"/>
      <c r="Z403" s="202" t="str">
        <f t="shared" si="0"/>
        <v>RLOM PipeFittings</v>
      </c>
      <c r="AA403" s="172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</row>
    <row r="404" spans="1:40" ht="12.75" customHeight="1">
      <c r="A404" s="190">
        <v>3</v>
      </c>
      <c r="B404" s="190" t="s">
        <v>538</v>
      </c>
      <c r="C404" s="190">
        <v>34</v>
      </c>
      <c r="D404" s="191" t="s">
        <v>3296</v>
      </c>
      <c r="E404" s="192">
        <v>347</v>
      </c>
      <c r="F404" s="192" t="s">
        <v>3362</v>
      </c>
      <c r="G404" s="233"/>
      <c r="H404" s="222" t="str">
        <f>HYPERLINK("http://bsdd.buildingsmart.org/#concept/details/0ZSqaFgUH1J80omTwIPMts","0ZSqaFgUH1J80omTwIPMts")</f>
        <v>0ZSqaFgUH1J80omTwIPMts</v>
      </c>
      <c r="I404" s="120" t="s">
        <v>5041</v>
      </c>
      <c r="J404" s="195" t="s">
        <v>4115</v>
      </c>
      <c r="K404" s="191"/>
      <c r="L404" s="251" t="s">
        <v>4116</v>
      </c>
      <c r="M404" s="198"/>
      <c r="N404" s="203"/>
      <c r="O404" s="203"/>
      <c r="P404" s="191"/>
      <c r="Q404" s="203" t="s">
        <v>3254</v>
      </c>
      <c r="R404" s="203"/>
      <c r="S404" s="203"/>
      <c r="T404" s="203"/>
      <c r="U404" s="198"/>
      <c r="V404" s="198"/>
      <c r="W404" s="198"/>
      <c r="X404" s="198"/>
      <c r="Y404" s="198"/>
      <c r="Z404" s="202" t="str">
        <f t="shared" si="0"/>
        <v>RLOM FlowControllers</v>
      </c>
      <c r="AA404" s="172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</row>
    <row r="405" spans="1:40" ht="12.75" customHeight="1">
      <c r="A405" s="190">
        <v>3</v>
      </c>
      <c r="B405" s="190" t="s">
        <v>538</v>
      </c>
      <c r="C405" s="190">
        <v>35</v>
      </c>
      <c r="D405" s="191" t="s">
        <v>3381</v>
      </c>
      <c r="E405" s="192">
        <v>351</v>
      </c>
      <c r="F405" s="192" t="s">
        <v>3382</v>
      </c>
      <c r="G405" s="233" t="s">
        <v>3383</v>
      </c>
      <c r="H405" s="222" t="str">
        <f>HYPERLINK("http://bsdd.buildingsmart.org/#concept/details/0apooc1vH4LecmraRcufYK","0apooc1vH4LecmraRcufYK")</f>
        <v>0apooc1vH4LecmraRcufYK</v>
      </c>
      <c r="I405" s="120" t="s">
        <v>5042</v>
      </c>
      <c r="J405" s="195" t="s">
        <v>4117</v>
      </c>
      <c r="K405" s="191"/>
      <c r="L405" s="251" t="s">
        <v>4118</v>
      </c>
      <c r="M405" s="198"/>
      <c r="N405" s="203"/>
      <c r="O405" s="203"/>
      <c r="P405" s="191"/>
      <c r="Q405" s="203" t="s">
        <v>3385</v>
      </c>
      <c r="R405" s="203"/>
      <c r="S405" s="203"/>
      <c r="T405" s="203"/>
      <c r="U405" s="198"/>
      <c r="V405" s="198"/>
      <c r="W405" s="198"/>
      <c r="X405" s="198"/>
      <c r="Y405" s="198"/>
      <c r="Z405" s="202" t="str">
        <f t="shared" si="0"/>
        <v>RLOM Chillers</v>
      </c>
      <c r="AA405" s="172"/>
      <c r="AB405" s="153"/>
      <c r="AC405" s="153"/>
      <c r="AD405" s="153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</row>
    <row r="406" spans="1:40" ht="12.75" customHeight="1">
      <c r="A406" s="190">
        <v>3</v>
      </c>
      <c r="B406" s="190" t="s">
        <v>538</v>
      </c>
      <c r="C406" s="190">
        <v>35</v>
      </c>
      <c r="D406" s="191" t="s">
        <v>3381</v>
      </c>
      <c r="E406" s="192">
        <v>351</v>
      </c>
      <c r="F406" s="192" t="s">
        <v>3382</v>
      </c>
      <c r="G406" s="233" t="s">
        <v>3383</v>
      </c>
      <c r="H406" s="222" t="str">
        <f>HYPERLINK("http://bsdd.buildingsmart.org/#concept/details/3AeuvbjqHFbPwnz2Jg5JFe","3AeuvbjqHFbPwnz2Jg5JFe")</f>
        <v>3AeuvbjqHFbPwnz2Jg5JFe</v>
      </c>
      <c r="I406" s="120" t="s">
        <v>5043</v>
      </c>
      <c r="J406" s="195" t="s">
        <v>4119</v>
      </c>
      <c r="K406" s="191"/>
      <c r="L406" s="251" t="s">
        <v>4120</v>
      </c>
      <c r="M406" s="198"/>
      <c r="N406" s="203"/>
      <c r="O406" s="203"/>
      <c r="P406" s="191"/>
      <c r="Q406" s="203" t="s">
        <v>3207</v>
      </c>
      <c r="R406" s="203"/>
      <c r="S406" s="203"/>
      <c r="T406" s="203"/>
      <c r="U406" s="198"/>
      <c r="V406" s="198"/>
      <c r="W406" s="198"/>
      <c r="X406" s="198"/>
      <c r="Y406" s="198"/>
      <c r="Z406" s="202" t="str">
        <f t="shared" si="0"/>
        <v>RLOM FlowTerminals</v>
      </c>
      <c r="AA406" s="172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</row>
    <row r="407" spans="1:40" ht="18" customHeight="1">
      <c r="A407" s="190">
        <v>3</v>
      </c>
      <c r="B407" s="190" t="s">
        <v>538</v>
      </c>
      <c r="C407" s="190">
        <v>35</v>
      </c>
      <c r="D407" s="191" t="s">
        <v>3381</v>
      </c>
      <c r="E407" s="192">
        <v>351</v>
      </c>
      <c r="F407" s="192" t="s">
        <v>3382</v>
      </c>
      <c r="G407" s="233" t="s">
        <v>3383</v>
      </c>
      <c r="H407" s="222" t="str">
        <f>HYPERLINK("http://bsdd.buildingsmart.org/#concept/details/0or3umcPb7IQFh2Rl$exFk","0or3umcPb7IQFh2Rl$exFk")</f>
        <v>0or3umcPb7IQFh2Rl$exFk</v>
      </c>
      <c r="I407" s="119" t="s">
        <v>5044</v>
      </c>
      <c r="J407" s="209" t="s">
        <v>4121</v>
      </c>
      <c r="K407" s="206"/>
      <c r="L407" s="251" t="s">
        <v>4122</v>
      </c>
      <c r="M407" s="198"/>
      <c r="N407" s="203" t="s">
        <v>722</v>
      </c>
      <c r="O407" s="199" t="s">
        <v>724</v>
      </c>
      <c r="P407" s="191" t="s">
        <v>726</v>
      </c>
      <c r="Q407" s="203" t="s">
        <v>809</v>
      </c>
      <c r="R407" s="203" t="s">
        <v>810</v>
      </c>
      <c r="S407" s="203" t="s">
        <v>811</v>
      </c>
      <c r="T407" s="203"/>
      <c r="U407" s="198"/>
      <c r="V407" s="198"/>
      <c r="W407" s="198"/>
      <c r="X407" s="198"/>
      <c r="Y407" s="198"/>
      <c r="Z407" s="202" t="str">
        <f t="shared" si="0"/>
        <v>RLOM PipeSegments</v>
      </c>
      <c r="AA407" s="172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</row>
    <row r="408" spans="1:40" ht="21.75" customHeight="1">
      <c r="A408" s="190">
        <v>3</v>
      </c>
      <c r="B408" s="190" t="s">
        <v>538</v>
      </c>
      <c r="C408" s="190">
        <v>35</v>
      </c>
      <c r="D408" s="191" t="s">
        <v>3381</v>
      </c>
      <c r="E408" s="192">
        <v>351</v>
      </c>
      <c r="F408" s="192" t="s">
        <v>3382</v>
      </c>
      <c r="G408" s="233" t="s">
        <v>3383</v>
      </c>
      <c r="H408" s="222" t="str">
        <f>HYPERLINK("http://bsdd.buildingsmart.org/#concept/details/0bX9Kys99BJfNYOn3Xpf3I","0bX9Kys99BJfNYOn3Xpf3I")</f>
        <v>0bX9Kys99BJfNYOn3Xpf3I</v>
      </c>
      <c r="I408" s="122" t="s">
        <v>5045</v>
      </c>
      <c r="J408" s="195" t="s">
        <v>4123</v>
      </c>
      <c r="K408" s="191"/>
      <c r="L408" s="251" t="s">
        <v>4124</v>
      </c>
      <c r="M408" s="198"/>
      <c r="N408" s="203" t="s">
        <v>565</v>
      </c>
      <c r="O408" s="199" t="s">
        <v>566</v>
      </c>
      <c r="P408" s="191" t="s">
        <v>794</v>
      </c>
      <c r="Q408" s="203" t="s">
        <v>569</v>
      </c>
      <c r="R408" s="203" t="s">
        <v>571</v>
      </c>
      <c r="S408" s="203" t="s">
        <v>795</v>
      </c>
      <c r="T408" s="203" t="s">
        <v>796</v>
      </c>
      <c r="U408" s="198"/>
      <c r="V408" s="198"/>
      <c r="W408" s="198"/>
      <c r="X408" s="198"/>
      <c r="Y408" s="198"/>
      <c r="Z408" s="202" t="str">
        <f t="shared" si="0"/>
        <v>RLOM PipeFittings</v>
      </c>
      <c r="AA408" s="172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</row>
    <row r="409" spans="1:40" ht="12.75" customHeight="1">
      <c r="A409" s="190">
        <v>3</v>
      </c>
      <c r="B409" s="190" t="s">
        <v>538</v>
      </c>
      <c r="C409" s="190">
        <v>35</v>
      </c>
      <c r="D409" s="191" t="s">
        <v>3381</v>
      </c>
      <c r="E409" s="192">
        <v>351</v>
      </c>
      <c r="F409" s="192" t="s">
        <v>3382</v>
      </c>
      <c r="G409" s="233" t="s">
        <v>3383</v>
      </c>
      <c r="H409" s="222" t="str">
        <f>HYPERLINK("http://bsdd.buildingsmart.org/#concept/details/2BUPGfc0bB09qyD2L0H14e","2BUPGfc0bB09qyD2L0H14e")</f>
        <v>2BUPGfc0bB09qyD2L0H14e</v>
      </c>
      <c r="I409" s="122" t="s">
        <v>5046</v>
      </c>
      <c r="J409" s="195" t="s">
        <v>3391</v>
      </c>
      <c r="K409" s="191"/>
      <c r="L409" s="251" t="s">
        <v>4125</v>
      </c>
      <c r="M409" s="198"/>
      <c r="N409" s="203" t="s">
        <v>565</v>
      </c>
      <c r="O409" s="199" t="s">
        <v>566</v>
      </c>
      <c r="P409" s="191" t="s">
        <v>794</v>
      </c>
      <c r="Q409" s="203" t="s">
        <v>569</v>
      </c>
      <c r="R409" s="203" t="s">
        <v>571</v>
      </c>
      <c r="S409" s="203" t="s">
        <v>795</v>
      </c>
      <c r="T409" s="203" t="s">
        <v>910</v>
      </c>
      <c r="U409" s="198"/>
      <c r="V409" s="198"/>
      <c r="W409" s="198"/>
      <c r="X409" s="198"/>
      <c r="Y409" s="198"/>
      <c r="Z409" s="202" t="str">
        <f t="shared" si="0"/>
        <v>RLOM PipeFittings</v>
      </c>
      <c r="AA409" s="172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</row>
    <row r="410" spans="1:40" ht="12.75" customHeight="1">
      <c r="A410" s="190">
        <v>3</v>
      </c>
      <c r="B410" s="190" t="s">
        <v>538</v>
      </c>
      <c r="C410" s="190">
        <v>35</v>
      </c>
      <c r="D410" s="191" t="s">
        <v>3381</v>
      </c>
      <c r="E410" s="192">
        <v>351</v>
      </c>
      <c r="F410" s="192" t="s">
        <v>3382</v>
      </c>
      <c r="G410" s="233" t="s">
        <v>3383</v>
      </c>
      <c r="H410" s="222" t="str">
        <f>HYPERLINK("http://bsdd.buildingsmart.org/#concept/details/3_O038qFf57O7l8aXVxRGc","3_O038qFf57O7l8aXVxRGc")</f>
        <v>3_O038qFf57O7l8aXVxRGc</v>
      </c>
      <c r="I410" s="122" t="s">
        <v>5047</v>
      </c>
      <c r="J410" s="195" t="s">
        <v>4126</v>
      </c>
      <c r="K410" s="191" t="s">
        <v>550</v>
      </c>
      <c r="L410" s="251" t="s">
        <v>4127</v>
      </c>
      <c r="M410" s="198"/>
      <c r="N410" s="203" t="s">
        <v>565</v>
      </c>
      <c r="O410" s="199" t="s">
        <v>566</v>
      </c>
      <c r="P410" s="191" t="s">
        <v>567</v>
      </c>
      <c r="Q410" s="203" t="s">
        <v>569</v>
      </c>
      <c r="R410" s="203" t="s">
        <v>571</v>
      </c>
      <c r="S410" s="203" t="s">
        <v>573</v>
      </c>
      <c r="T410" s="203"/>
      <c r="U410" s="198"/>
      <c r="V410" s="198"/>
      <c r="W410" s="198"/>
      <c r="X410" s="198"/>
      <c r="Y410" s="198"/>
      <c r="Z410" s="202" t="str">
        <f t="shared" si="0"/>
        <v>RLOM PipeFittings</v>
      </c>
      <c r="AA410" s="172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</row>
    <row r="411" spans="1:40" ht="12.75" customHeight="1">
      <c r="A411" s="190">
        <v>3</v>
      </c>
      <c r="B411" s="190" t="s">
        <v>538</v>
      </c>
      <c r="C411" s="190">
        <v>35</v>
      </c>
      <c r="D411" s="191" t="s">
        <v>3381</v>
      </c>
      <c r="E411" s="192">
        <v>351</v>
      </c>
      <c r="F411" s="192" t="s">
        <v>3382</v>
      </c>
      <c r="G411" s="233" t="s">
        <v>3383</v>
      </c>
      <c r="H411" s="222" t="str">
        <f>HYPERLINK("http://bsdd.buildingsmart.org/#concept/details/3atVf2Ruv17eSF6xVD5YNZ","3atVf2Ruv17eSF6xVD5YNZ")</f>
        <v>3atVf2Ruv17eSF6xVD5YNZ</v>
      </c>
      <c r="I411" s="120" t="s">
        <v>5048</v>
      </c>
      <c r="J411" s="195" t="s">
        <v>4128</v>
      </c>
      <c r="K411" s="191"/>
      <c r="L411" s="251" t="s">
        <v>4129</v>
      </c>
      <c r="M411" s="198"/>
      <c r="N411" s="203"/>
      <c r="O411" s="203"/>
      <c r="P411" s="191"/>
      <c r="Q411" s="203" t="s">
        <v>3254</v>
      </c>
      <c r="R411" s="203"/>
      <c r="S411" s="203"/>
      <c r="T411" s="203"/>
      <c r="U411" s="198"/>
      <c r="V411" s="198"/>
      <c r="W411" s="198"/>
      <c r="X411" s="198"/>
      <c r="Y411" s="198"/>
      <c r="Z411" s="202" t="str">
        <f t="shared" si="0"/>
        <v>RLOM FlowControllers</v>
      </c>
      <c r="AA411" s="172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</row>
    <row r="412" spans="1:40" ht="18" customHeight="1">
      <c r="A412" s="190">
        <v>3</v>
      </c>
      <c r="B412" s="190" t="s">
        <v>538</v>
      </c>
      <c r="C412" s="190">
        <v>35</v>
      </c>
      <c r="D412" s="191" t="s">
        <v>3381</v>
      </c>
      <c r="E412" s="192">
        <v>352</v>
      </c>
      <c r="F412" s="192" t="s">
        <v>3395</v>
      </c>
      <c r="G412" s="233" t="s">
        <v>3396</v>
      </c>
      <c r="H412" s="222" t="str">
        <f>HYPERLINK("http://bsdd.buildingsmart.org/#concept/details/1VQ1GZZDD2pvhjZ8ZKtCoL","1VQ1GZZDD2pvhjZ8ZKtCoL")</f>
        <v>1VQ1GZZDD2pvhjZ8ZKtCoL</v>
      </c>
      <c r="I412" s="120" t="s">
        <v>5049</v>
      </c>
      <c r="J412" s="195" t="s">
        <v>4130</v>
      </c>
      <c r="K412" s="191"/>
      <c r="L412" s="251" t="s">
        <v>4131</v>
      </c>
      <c r="M412" s="198"/>
      <c r="N412" s="203"/>
      <c r="O412" s="203"/>
      <c r="P412" s="191"/>
      <c r="Q412" s="203" t="s">
        <v>3399</v>
      </c>
      <c r="R412" s="203"/>
      <c r="S412" s="203"/>
      <c r="T412" s="203"/>
      <c r="U412" s="198"/>
      <c r="V412" s="198"/>
      <c r="W412" s="198"/>
      <c r="X412" s="198"/>
      <c r="Y412" s="198"/>
      <c r="Z412" s="202" t="str">
        <f t="shared" si="0"/>
        <v>RLOM EnergyConversionDevices</v>
      </c>
      <c r="AA412" s="172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</row>
    <row r="413" spans="1:40" ht="12.75" customHeight="1">
      <c r="A413" s="190">
        <v>3</v>
      </c>
      <c r="B413" s="190" t="s">
        <v>538</v>
      </c>
      <c r="C413" s="190">
        <v>35</v>
      </c>
      <c r="D413" s="191" t="s">
        <v>3381</v>
      </c>
      <c r="E413" s="192">
        <v>352</v>
      </c>
      <c r="F413" s="192" t="s">
        <v>3395</v>
      </c>
      <c r="G413" s="233"/>
      <c r="H413" s="222" t="str">
        <f>HYPERLINK("http://bsdd.buildingsmart.org/#concept/details/1TtXB6P9HFb8OkdKMz9gNx","1TtXB6P9HFb8OkdKMz9gNx")</f>
        <v>1TtXB6P9HFb8OkdKMz9gNx</v>
      </c>
      <c r="I413" s="120" t="s">
        <v>5050</v>
      </c>
      <c r="J413" s="195" t="s">
        <v>4132</v>
      </c>
      <c r="K413" s="191"/>
      <c r="L413" s="251" t="s">
        <v>4133</v>
      </c>
      <c r="M413" s="198"/>
      <c r="N413" s="203"/>
      <c r="O413" s="203"/>
      <c r="P413" s="191"/>
      <c r="Q413" s="203" t="s">
        <v>3207</v>
      </c>
      <c r="R413" s="203"/>
      <c r="S413" s="203"/>
      <c r="T413" s="203"/>
      <c r="U413" s="198"/>
      <c r="V413" s="198"/>
      <c r="W413" s="198"/>
      <c r="X413" s="198"/>
      <c r="Y413" s="198"/>
      <c r="Z413" s="202" t="str">
        <f t="shared" si="0"/>
        <v>RLOM FlowTerminals</v>
      </c>
      <c r="AA413" s="172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</row>
    <row r="414" spans="1:40" ht="18" customHeight="1">
      <c r="A414" s="190">
        <v>3</v>
      </c>
      <c r="B414" s="190" t="s">
        <v>538</v>
      </c>
      <c r="C414" s="190">
        <v>35</v>
      </c>
      <c r="D414" s="191" t="s">
        <v>3381</v>
      </c>
      <c r="E414" s="192">
        <v>352</v>
      </c>
      <c r="F414" s="192" t="s">
        <v>3395</v>
      </c>
      <c r="G414" s="233"/>
      <c r="H414" s="222" t="str">
        <f>HYPERLINK("http://bsdd.buildingsmart.org/#concept/details/0HFnMYIWH12Q1kPcR9ivMN","0HFnMYIWH12Q1kPcR9ivMN")</f>
        <v>0HFnMYIWH12Q1kPcR9ivMN</v>
      </c>
      <c r="I414" s="119" t="s">
        <v>5051</v>
      </c>
      <c r="J414" s="209" t="s">
        <v>4134</v>
      </c>
      <c r="K414" s="206"/>
      <c r="L414" s="251" t="s">
        <v>4135</v>
      </c>
      <c r="M414" s="198"/>
      <c r="N414" s="203" t="s">
        <v>722</v>
      </c>
      <c r="O414" s="199" t="s">
        <v>724</v>
      </c>
      <c r="P414" s="191" t="s">
        <v>726</v>
      </c>
      <c r="Q414" s="203" t="s">
        <v>809</v>
      </c>
      <c r="R414" s="203" t="s">
        <v>810</v>
      </c>
      <c r="S414" s="203" t="s">
        <v>811</v>
      </c>
      <c r="T414" s="203"/>
      <c r="U414" s="198"/>
      <c r="V414" s="198"/>
      <c r="W414" s="198"/>
      <c r="X414" s="198"/>
      <c r="Y414" s="198"/>
      <c r="Z414" s="202" t="str">
        <f t="shared" si="0"/>
        <v>RLOM PipeSegments</v>
      </c>
      <c r="AA414" s="172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</row>
    <row r="415" spans="1:40" ht="21.75" customHeight="1">
      <c r="A415" s="190">
        <v>3</v>
      </c>
      <c r="B415" s="190" t="s">
        <v>538</v>
      </c>
      <c r="C415" s="190">
        <v>35</v>
      </c>
      <c r="D415" s="191" t="s">
        <v>3381</v>
      </c>
      <c r="E415" s="192">
        <v>352</v>
      </c>
      <c r="F415" s="192" t="s">
        <v>3395</v>
      </c>
      <c r="G415" s="233"/>
      <c r="H415" s="222" t="str">
        <f>HYPERLINK("http://bsdd.buildingsmart.org/#concept/details/2Li_PcvUzAN94fsCj914aJ","2Li_PcvUzAN94fsCj914aJ")</f>
        <v>2Li_PcvUzAN94fsCj914aJ</v>
      </c>
      <c r="I415" s="122" t="s">
        <v>5052</v>
      </c>
      <c r="J415" s="195" t="s">
        <v>4136</v>
      </c>
      <c r="K415" s="191"/>
      <c r="L415" s="251" t="s">
        <v>4137</v>
      </c>
      <c r="M415" s="198"/>
      <c r="N415" s="203" t="s">
        <v>565</v>
      </c>
      <c r="O415" s="199" t="s">
        <v>566</v>
      </c>
      <c r="P415" s="191" t="s">
        <v>794</v>
      </c>
      <c r="Q415" s="203" t="s">
        <v>569</v>
      </c>
      <c r="R415" s="203" t="s">
        <v>571</v>
      </c>
      <c r="S415" s="203" t="s">
        <v>795</v>
      </c>
      <c r="T415" s="203" t="s">
        <v>796</v>
      </c>
      <c r="U415" s="198"/>
      <c r="V415" s="198"/>
      <c r="W415" s="198"/>
      <c r="X415" s="198"/>
      <c r="Y415" s="198"/>
      <c r="Z415" s="202" t="str">
        <f t="shared" si="0"/>
        <v>RLOM PipeFittings</v>
      </c>
      <c r="AA415" s="172"/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</row>
    <row r="416" spans="1:40" ht="12.75" customHeight="1">
      <c r="A416" s="190">
        <v>3</v>
      </c>
      <c r="B416" s="190" t="s">
        <v>538</v>
      </c>
      <c r="C416" s="190">
        <v>35</v>
      </c>
      <c r="D416" s="191" t="s">
        <v>3381</v>
      </c>
      <c r="E416" s="192">
        <v>352</v>
      </c>
      <c r="F416" s="192" t="s">
        <v>3395</v>
      </c>
      <c r="G416" s="233"/>
      <c r="H416" s="222" t="str">
        <f>HYPERLINK("http://bsdd.buildingsmart.org/#concept/details/2wgywBvqz5vfw6mb7$hXtQ","2wgywBvqz5vfw6mb7$hXtQ")</f>
        <v>2wgywBvqz5vfw6mb7$hXtQ</v>
      </c>
      <c r="I416" s="122" t="s">
        <v>5053</v>
      </c>
      <c r="J416" s="195" t="s">
        <v>3404</v>
      </c>
      <c r="K416" s="191"/>
      <c r="L416" s="251" t="s">
        <v>4138</v>
      </c>
      <c r="M416" s="198"/>
      <c r="N416" s="203" t="s">
        <v>565</v>
      </c>
      <c r="O416" s="199" t="s">
        <v>566</v>
      </c>
      <c r="P416" s="191" t="s">
        <v>794</v>
      </c>
      <c r="Q416" s="203" t="s">
        <v>569</v>
      </c>
      <c r="R416" s="203" t="s">
        <v>571</v>
      </c>
      <c r="S416" s="203" t="s">
        <v>795</v>
      </c>
      <c r="T416" s="203" t="s">
        <v>910</v>
      </c>
      <c r="U416" s="198"/>
      <c r="V416" s="198"/>
      <c r="W416" s="198"/>
      <c r="X416" s="198"/>
      <c r="Y416" s="198"/>
      <c r="Z416" s="202" t="str">
        <f t="shared" si="0"/>
        <v>RLOM PipeFittings</v>
      </c>
      <c r="AA416" s="172"/>
      <c r="AB416" s="153"/>
      <c r="AC416" s="153"/>
      <c r="AD416" s="153"/>
      <c r="AE416" s="153"/>
      <c r="AF416" s="153"/>
      <c r="AG416" s="153"/>
      <c r="AH416" s="153"/>
      <c r="AI416" s="153"/>
      <c r="AJ416" s="153"/>
      <c r="AK416" s="153"/>
      <c r="AL416" s="153"/>
      <c r="AM416" s="153"/>
      <c r="AN416" s="153"/>
    </row>
    <row r="417" spans="1:40" ht="12.75" customHeight="1">
      <c r="A417" s="190">
        <v>3</v>
      </c>
      <c r="B417" s="190" t="s">
        <v>538</v>
      </c>
      <c r="C417" s="190">
        <v>35</v>
      </c>
      <c r="D417" s="191" t="s">
        <v>3381</v>
      </c>
      <c r="E417" s="192">
        <v>352</v>
      </c>
      <c r="F417" s="192" t="s">
        <v>3395</v>
      </c>
      <c r="G417" s="233"/>
      <c r="H417" s="222" t="str">
        <f>HYPERLINK("http://bsdd.buildingsmart.org/#concept/details/35Wt$Xtkv9sfJYLBOslTuW","35Wt$Xtkv9sfJYLBOslTuW")</f>
        <v>35Wt$Xtkv9sfJYLBOslTuW</v>
      </c>
      <c r="I417" s="122" t="s">
        <v>5054</v>
      </c>
      <c r="J417" s="195" t="s">
        <v>4139</v>
      </c>
      <c r="K417" s="191" t="s">
        <v>550</v>
      </c>
      <c r="L417" s="251" t="s">
        <v>4140</v>
      </c>
      <c r="M417" s="198"/>
      <c r="N417" s="203" t="s">
        <v>565</v>
      </c>
      <c r="O417" s="199" t="s">
        <v>566</v>
      </c>
      <c r="P417" s="191" t="s">
        <v>567</v>
      </c>
      <c r="Q417" s="203" t="s">
        <v>569</v>
      </c>
      <c r="R417" s="203" t="s">
        <v>571</v>
      </c>
      <c r="S417" s="203" t="s">
        <v>573</v>
      </c>
      <c r="T417" s="203"/>
      <c r="U417" s="198"/>
      <c r="V417" s="198"/>
      <c r="W417" s="198"/>
      <c r="X417" s="198"/>
      <c r="Y417" s="198"/>
      <c r="Z417" s="202" t="str">
        <f t="shared" si="0"/>
        <v>RLOM PipeFittings</v>
      </c>
      <c r="AA417" s="172"/>
      <c r="AB417" s="153"/>
      <c r="AC417" s="153"/>
      <c r="AD417" s="153"/>
      <c r="AE417" s="153"/>
      <c r="AF417" s="153"/>
      <c r="AG417" s="153"/>
      <c r="AH417" s="153"/>
      <c r="AI417" s="153"/>
      <c r="AJ417" s="153"/>
      <c r="AK417" s="153"/>
      <c r="AL417" s="153"/>
      <c r="AM417" s="153"/>
      <c r="AN417" s="153"/>
    </row>
    <row r="418" spans="1:40" ht="12.75" customHeight="1">
      <c r="A418" s="190">
        <v>3</v>
      </c>
      <c r="B418" s="190" t="s">
        <v>538</v>
      </c>
      <c r="C418" s="190">
        <v>35</v>
      </c>
      <c r="D418" s="191" t="s">
        <v>3381</v>
      </c>
      <c r="E418" s="192">
        <v>352</v>
      </c>
      <c r="F418" s="192" t="s">
        <v>3395</v>
      </c>
      <c r="G418" s="233"/>
      <c r="H418" s="222" t="str">
        <f>HYPERLINK("http://bsdd.buildingsmart.org/#concept/details/1qsyoaFP96h9V0YRVOkPmv","1qsyoaFP96h9V0YRVOkPmv")</f>
        <v>1qsyoaFP96h9V0YRVOkPmv</v>
      </c>
      <c r="I418" s="120" t="s">
        <v>5055</v>
      </c>
      <c r="J418" s="195" t="s">
        <v>4141</v>
      </c>
      <c r="K418" s="191"/>
      <c r="L418" s="251" t="s">
        <v>4142</v>
      </c>
      <c r="M418" s="198"/>
      <c r="N418" s="203"/>
      <c r="O418" s="203"/>
      <c r="P418" s="191"/>
      <c r="Q418" s="203" t="s">
        <v>3254</v>
      </c>
      <c r="R418" s="203"/>
      <c r="S418" s="203"/>
      <c r="T418" s="203"/>
      <c r="U418" s="198"/>
      <c r="V418" s="198"/>
      <c r="W418" s="198"/>
      <c r="X418" s="198"/>
      <c r="Y418" s="198"/>
      <c r="Z418" s="202" t="str">
        <f t="shared" si="0"/>
        <v>RLOM FlowControllers</v>
      </c>
      <c r="AA418" s="172"/>
      <c r="AB418" s="153"/>
      <c r="AC418" s="153"/>
      <c r="AD418" s="153"/>
      <c r="AE418" s="153"/>
      <c r="AF418" s="153"/>
      <c r="AG418" s="153"/>
      <c r="AH418" s="153"/>
      <c r="AI418" s="153"/>
      <c r="AJ418" s="153"/>
      <c r="AK418" s="153"/>
      <c r="AL418" s="153"/>
      <c r="AM418" s="153"/>
      <c r="AN418" s="153"/>
    </row>
    <row r="419" spans="1:40" ht="27" customHeight="1">
      <c r="A419" s="190">
        <v>3</v>
      </c>
      <c r="B419" s="190" t="s">
        <v>538</v>
      </c>
      <c r="C419" s="190">
        <v>35</v>
      </c>
      <c r="D419" s="191" t="s">
        <v>3381</v>
      </c>
      <c r="E419" s="192">
        <v>353</v>
      </c>
      <c r="F419" s="192" t="s">
        <v>3410</v>
      </c>
      <c r="G419" s="191" t="s">
        <v>3411</v>
      </c>
      <c r="H419" s="222" t="str">
        <f>HYPERLINK("http://bsdd.buildingsmart.org/#concept/details/1VQ1GZZDD2pvhjZ8ZKtCoL","1VQ1GZZDD2pvhjZ8ZKtCoL")</f>
        <v>1VQ1GZZDD2pvhjZ8ZKtCoL</v>
      </c>
      <c r="I419" s="120" t="s">
        <v>5056</v>
      </c>
      <c r="J419" s="195" t="s">
        <v>4143</v>
      </c>
      <c r="K419" s="191"/>
      <c r="L419" s="251" t="s">
        <v>4144</v>
      </c>
      <c r="M419" s="198"/>
      <c r="N419" s="203"/>
      <c r="O419" s="203"/>
      <c r="P419" s="191"/>
      <c r="Q419" s="203" t="s">
        <v>3399</v>
      </c>
      <c r="R419" s="198"/>
      <c r="S419" s="198"/>
      <c r="T419" s="203"/>
      <c r="U419" s="198"/>
      <c r="V419" s="198"/>
      <c r="W419" s="198"/>
      <c r="X419" s="198"/>
      <c r="Y419" s="198"/>
      <c r="Z419" s="202" t="str">
        <f t="shared" si="0"/>
        <v>RLOM EnergyConversionDevices</v>
      </c>
      <c r="AA419" s="172"/>
      <c r="AB419" s="153"/>
      <c r="AC419" s="153"/>
      <c r="AD419" s="153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</row>
    <row r="420" spans="1:40" ht="21.75" customHeight="1">
      <c r="A420" s="190">
        <v>3</v>
      </c>
      <c r="B420" s="190" t="s">
        <v>538</v>
      </c>
      <c r="C420" s="190">
        <v>35</v>
      </c>
      <c r="D420" s="191" t="s">
        <v>3381</v>
      </c>
      <c r="E420" s="192">
        <v>353</v>
      </c>
      <c r="F420" s="192" t="s">
        <v>3410</v>
      </c>
      <c r="G420" s="233"/>
      <c r="H420" s="222" t="str">
        <f>HYPERLINK("http://bsdd.buildingsmart.org/#concept/details/3rIKcD3fH7IeVAiC$KLi4h","3rIKcD3fH7IeVAiC$KLi4h")</f>
        <v>3rIKcD3fH7IeVAiC$KLi4h</v>
      </c>
      <c r="I420" s="120" t="s">
        <v>5057</v>
      </c>
      <c r="J420" s="195" t="s">
        <v>4145</v>
      </c>
      <c r="K420" s="191"/>
      <c r="L420" s="251" t="s">
        <v>4146</v>
      </c>
      <c r="M420" s="198"/>
      <c r="N420" s="203"/>
      <c r="O420" s="203"/>
      <c r="P420" s="191"/>
      <c r="Q420" s="203" t="s">
        <v>3207</v>
      </c>
      <c r="R420" s="198"/>
      <c r="S420" s="198"/>
      <c r="T420" s="203"/>
      <c r="U420" s="198"/>
      <c r="V420" s="198"/>
      <c r="W420" s="198"/>
      <c r="X420" s="198"/>
      <c r="Y420" s="198"/>
      <c r="Z420" s="202" t="str">
        <f t="shared" si="0"/>
        <v>RLOM FlowTerminals</v>
      </c>
      <c r="AA420" s="172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</row>
    <row r="421" spans="1:40" ht="21.75" customHeight="1">
      <c r="A421" s="190">
        <v>3</v>
      </c>
      <c r="B421" s="190" t="s">
        <v>538</v>
      </c>
      <c r="C421" s="190">
        <v>35</v>
      </c>
      <c r="D421" s="191" t="s">
        <v>3381</v>
      </c>
      <c r="E421" s="192">
        <v>353</v>
      </c>
      <c r="F421" s="192" t="s">
        <v>3410</v>
      </c>
      <c r="G421" s="233"/>
      <c r="H421" s="222" t="str">
        <f>HYPERLINK("http://bsdd.buildingsmart.org/#concept/details/30ZJpt9iTF_OCWN5xV3QQi","30ZJpt9iTF_OCWN5xV3QQi")</f>
        <v>30ZJpt9iTF_OCWN5xV3QQi</v>
      </c>
      <c r="I421" s="119" t="s">
        <v>5058</v>
      </c>
      <c r="J421" s="209" t="s">
        <v>4147</v>
      </c>
      <c r="K421" s="206"/>
      <c r="L421" s="251" t="s">
        <v>4148</v>
      </c>
      <c r="M421" s="198"/>
      <c r="N421" s="203" t="s">
        <v>722</v>
      </c>
      <c r="O421" s="199" t="s">
        <v>724</v>
      </c>
      <c r="P421" s="191" t="s">
        <v>726</v>
      </c>
      <c r="Q421" s="203" t="s">
        <v>809</v>
      </c>
      <c r="R421" s="203" t="s">
        <v>810</v>
      </c>
      <c r="S421" s="203" t="s">
        <v>811</v>
      </c>
      <c r="T421" s="203"/>
      <c r="U421" s="198"/>
      <c r="V421" s="198"/>
      <c r="W421" s="198"/>
      <c r="X421" s="198"/>
      <c r="Y421" s="198"/>
      <c r="Z421" s="202" t="str">
        <f t="shared" si="0"/>
        <v>RLOM PipeSegments</v>
      </c>
      <c r="AA421" s="172"/>
      <c r="AB421" s="153"/>
      <c r="AC421" s="153"/>
      <c r="AD421" s="153"/>
      <c r="AE421" s="153"/>
      <c r="AF421" s="153"/>
      <c r="AG421" s="153"/>
      <c r="AH421" s="153"/>
      <c r="AI421" s="153"/>
      <c r="AJ421" s="153"/>
      <c r="AK421" s="153"/>
      <c r="AL421" s="153"/>
      <c r="AM421" s="153"/>
      <c r="AN421" s="153"/>
    </row>
    <row r="422" spans="1:40" ht="21.75" customHeight="1">
      <c r="A422" s="190">
        <v>3</v>
      </c>
      <c r="B422" s="190" t="s">
        <v>538</v>
      </c>
      <c r="C422" s="190">
        <v>35</v>
      </c>
      <c r="D422" s="191" t="s">
        <v>3381</v>
      </c>
      <c r="E422" s="192">
        <v>353</v>
      </c>
      <c r="F422" s="192" t="s">
        <v>3410</v>
      </c>
      <c r="G422" s="233"/>
      <c r="H422" s="222" t="str">
        <f>HYPERLINK("http://bsdd.buildingsmart.org/#concept/details/1RTYeUNzX40haO6Q9PTu3G","1RTYeUNzX40haO6Q9PTu3G")</f>
        <v>1RTYeUNzX40haO6Q9PTu3G</v>
      </c>
      <c r="I422" s="122" t="s">
        <v>5059</v>
      </c>
      <c r="J422" s="195" t="s">
        <v>4149</v>
      </c>
      <c r="K422" s="191"/>
      <c r="L422" s="251" t="s">
        <v>4150</v>
      </c>
      <c r="M422" s="198"/>
      <c r="N422" s="203" t="s">
        <v>565</v>
      </c>
      <c r="O422" s="199" t="s">
        <v>566</v>
      </c>
      <c r="P422" s="191" t="s">
        <v>794</v>
      </c>
      <c r="Q422" s="203" t="s">
        <v>569</v>
      </c>
      <c r="R422" s="203" t="s">
        <v>571</v>
      </c>
      <c r="S422" s="203" t="s">
        <v>795</v>
      </c>
      <c r="T422" s="203" t="s">
        <v>796</v>
      </c>
      <c r="U422" s="198"/>
      <c r="V422" s="198"/>
      <c r="W422" s="198"/>
      <c r="X422" s="198"/>
      <c r="Y422" s="198"/>
      <c r="Z422" s="202" t="str">
        <f t="shared" si="0"/>
        <v>RLOM PipeFittings</v>
      </c>
      <c r="AA422" s="172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</row>
    <row r="423" spans="1:40" ht="21.75" customHeight="1">
      <c r="A423" s="190">
        <v>3</v>
      </c>
      <c r="B423" s="190" t="s">
        <v>538</v>
      </c>
      <c r="C423" s="190">
        <v>35</v>
      </c>
      <c r="D423" s="191" t="s">
        <v>3381</v>
      </c>
      <c r="E423" s="192">
        <v>353</v>
      </c>
      <c r="F423" s="192" t="s">
        <v>3410</v>
      </c>
      <c r="G423" s="233"/>
      <c r="H423" s="222" t="str">
        <f>HYPERLINK("http://bsdd.buildingsmart.org/#concept/details/3NS56vQBXApPORDzkg8AbO","3NS56vQBXApPORDzkg8AbO")</f>
        <v>3NS56vQBXApPORDzkg8AbO</v>
      </c>
      <c r="I423" s="122" t="s">
        <v>5060</v>
      </c>
      <c r="J423" s="195" t="s">
        <v>3418</v>
      </c>
      <c r="K423" s="191"/>
      <c r="L423" s="251" t="s">
        <v>4151</v>
      </c>
      <c r="M423" s="198"/>
      <c r="N423" s="203" t="s">
        <v>565</v>
      </c>
      <c r="O423" s="199" t="s">
        <v>566</v>
      </c>
      <c r="P423" s="191" t="s">
        <v>794</v>
      </c>
      <c r="Q423" s="203" t="s">
        <v>569</v>
      </c>
      <c r="R423" s="203" t="s">
        <v>571</v>
      </c>
      <c r="S423" s="203" t="s">
        <v>795</v>
      </c>
      <c r="T423" s="203" t="s">
        <v>910</v>
      </c>
      <c r="U423" s="198"/>
      <c r="V423" s="198"/>
      <c r="W423" s="198"/>
      <c r="X423" s="198"/>
      <c r="Y423" s="198"/>
      <c r="Z423" s="202" t="str">
        <f t="shared" si="0"/>
        <v>RLOM PipeFittings</v>
      </c>
      <c r="AA423" s="172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</row>
    <row r="424" spans="1:40" ht="21.75" customHeight="1">
      <c r="A424" s="190">
        <v>3</v>
      </c>
      <c r="B424" s="190" t="s">
        <v>538</v>
      </c>
      <c r="C424" s="190">
        <v>35</v>
      </c>
      <c r="D424" s="191" t="s">
        <v>3381</v>
      </c>
      <c r="E424" s="192">
        <v>353</v>
      </c>
      <c r="F424" s="192" t="s">
        <v>3410</v>
      </c>
      <c r="G424" s="233"/>
      <c r="H424" s="222" t="str">
        <f>HYPERLINK("http://bsdd.buildingsmart.org/#concept/details/0eZbv7mqL0bwpmCKbX6tjd","0eZbv7mqL0bwpmCKbX6tjd")</f>
        <v>0eZbv7mqL0bwpmCKbX6tjd</v>
      </c>
      <c r="I424" s="122" t="s">
        <v>5061</v>
      </c>
      <c r="J424" s="195" t="s">
        <v>4152</v>
      </c>
      <c r="K424" s="191" t="s">
        <v>550</v>
      </c>
      <c r="L424" s="251" t="s">
        <v>4153</v>
      </c>
      <c r="M424" s="198"/>
      <c r="N424" s="203" t="s">
        <v>565</v>
      </c>
      <c r="O424" s="199" t="s">
        <v>566</v>
      </c>
      <c r="P424" s="191" t="s">
        <v>567</v>
      </c>
      <c r="Q424" s="203" t="s">
        <v>569</v>
      </c>
      <c r="R424" s="203" t="s">
        <v>571</v>
      </c>
      <c r="S424" s="203" t="s">
        <v>573</v>
      </c>
      <c r="T424" s="203"/>
      <c r="U424" s="198"/>
      <c r="V424" s="198"/>
      <c r="W424" s="198"/>
      <c r="X424" s="198"/>
      <c r="Y424" s="198"/>
      <c r="Z424" s="202" t="str">
        <f t="shared" si="0"/>
        <v>RLOM PipeFittings</v>
      </c>
      <c r="AA424" s="172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</row>
    <row r="425" spans="1:40" ht="21.75" customHeight="1">
      <c r="A425" s="190">
        <v>3</v>
      </c>
      <c r="B425" s="190" t="s">
        <v>538</v>
      </c>
      <c r="C425" s="190">
        <v>35</v>
      </c>
      <c r="D425" s="191" t="s">
        <v>3381</v>
      </c>
      <c r="E425" s="192">
        <v>353</v>
      </c>
      <c r="F425" s="192" t="s">
        <v>3410</v>
      </c>
      <c r="G425" s="233"/>
      <c r="H425" s="222" t="str">
        <f>HYPERLINK("http://bsdd.buildingsmart.org/#concept/details/1ibNwi6V1C6xWopPu55uqp","1ibNwi6V1C6xWopPu55uqp")</f>
        <v>1ibNwi6V1C6xWopPu55uqp</v>
      </c>
      <c r="I425" s="120" t="s">
        <v>5062</v>
      </c>
      <c r="J425" s="195" t="s">
        <v>4154</v>
      </c>
      <c r="K425" s="191"/>
      <c r="L425" s="251" t="s">
        <v>4155</v>
      </c>
      <c r="M425" s="198"/>
      <c r="N425" s="203"/>
      <c r="O425" s="203"/>
      <c r="P425" s="191"/>
      <c r="Q425" s="203" t="s">
        <v>3254</v>
      </c>
      <c r="R425" s="198"/>
      <c r="S425" s="198"/>
      <c r="T425" s="203"/>
      <c r="U425" s="198"/>
      <c r="V425" s="198"/>
      <c r="W425" s="198"/>
      <c r="X425" s="198"/>
      <c r="Y425" s="198"/>
      <c r="Z425" s="202" t="str">
        <f t="shared" si="0"/>
        <v>RLOM FlowControllers</v>
      </c>
      <c r="AA425" s="172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</row>
    <row r="426" spans="1:40" ht="12.75" customHeight="1">
      <c r="A426" s="190">
        <v>3</v>
      </c>
      <c r="B426" s="190" t="s">
        <v>538</v>
      </c>
      <c r="C426" s="190">
        <v>35</v>
      </c>
      <c r="D426" s="191" t="s">
        <v>3381</v>
      </c>
      <c r="E426" s="192">
        <v>356</v>
      </c>
      <c r="F426" s="192" t="s">
        <v>3382</v>
      </c>
      <c r="G426" s="233"/>
      <c r="H426" s="222" t="str">
        <f>HYPERLINK("http://bsdd.buildingsmart.org/#concept/details/1eXfg_1I91Sx4GGeG$RIJY","1eXfg_1I91Sx4GGeG$RIJY")</f>
        <v>1eXfg_1I91Sx4GGeG$RIJY</v>
      </c>
      <c r="I426" s="120" t="s">
        <v>5063</v>
      </c>
      <c r="J426" s="195" t="s">
        <v>4156</v>
      </c>
      <c r="K426" s="191" t="s">
        <v>3014</v>
      </c>
      <c r="L426" s="251" t="s">
        <v>4157</v>
      </c>
      <c r="M426" s="203" t="s">
        <v>3016</v>
      </c>
      <c r="N426" s="192" t="s">
        <v>1027</v>
      </c>
      <c r="O426" s="192" t="s">
        <v>1032</v>
      </c>
      <c r="P426" s="206" t="s">
        <v>1033</v>
      </c>
      <c r="Q426" s="199" t="s">
        <v>1034</v>
      </c>
      <c r="R426" s="199" t="s">
        <v>1035</v>
      </c>
      <c r="S426" s="199" t="s">
        <v>1037</v>
      </c>
      <c r="T426" s="203"/>
      <c r="U426" s="198"/>
      <c r="V426" s="198"/>
      <c r="W426" s="198"/>
      <c r="X426" s="198"/>
      <c r="Y426" s="198"/>
      <c r="Z426" s="202" t="str">
        <f t="shared" si="0"/>
        <v>RLOM Coverings</v>
      </c>
      <c r="AA426" s="172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</row>
    <row r="427" spans="1:40" ht="12.75" customHeight="1">
      <c r="A427" s="190">
        <v>3</v>
      </c>
      <c r="B427" s="190" t="s">
        <v>538</v>
      </c>
      <c r="C427" s="190">
        <v>35</v>
      </c>
      <c r="D427" s="191" t="s">
        <v>3381</v>
      </c>
      <c r="E427" s="192">
        <v>356</v>
      </c>
      <c r="F427" s="192" t="s">
        <v>3395</v>
      </c>
      <c r="G427" s="233"/>
      <c r="H427" s="222" t="str">
        <f>HYPERLINK("http://bsdd.buildingsmart.org/#concept/details/19L5bx7qn7mucn68D07vXN","19L5bx7qn7mucn68D07vXN")</f>
        <v>19L5bx7qn7mucn68D07vXN</v>
      </c>
      <c r="I427" s="120" t="s">
        <v>5064</v>
      </c>
      <c r="J427" s="195" t="s">
        <v>4158</v>
      </c>
      <c r="K427" s="191" t="s">
        <v>3014</v>
      </c>
      <c r="L427" s="251" t="s">
        <v>4159</v>
      </c>
      <c r="M427" s="203" t="s">
        <v>3016</v>
      </c>
      <c r="N427" s="192" t="s">
        <v>1027</v>
      </c>
      <c r="O427" s="192" t="s">
        <v>1032</v>
      </c>
      <c r="P427" s="206" t="s">
        <v>1033</v>
      </c>
      <c r="Q427" s="199" t="s">
        <v>1034</v>
      </c>
      <c r="R427" s="199" t="s">
        <v>1035</v>
      </c>
      <c r="S427" s="199" t="s">
        <v>1037</v>
      </c>
      <c r="T427" s="203"/>
      <c r="U427" s="198"/>
      <c r="V427" s="198"/>
      <c r="W427" s="198"/>
      <c r="X427" s="198"/>
      <c r="Y427" s="198"/>
      <c r="Z427" s="202" t="str">
        <f t="shared" si="0"/>
        <v>RLOM Coverings</v>
      </c>
      <c r="AA427" s="172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</row>
    <row r="428" spans="1:40" ht="21.75" customHeight="1">
      <c r="A428" s="190">
        <v>3</v>
      </c>
      <c r="B428" s="190" t="s">
        <v>538</v>
      </c>
      <c r="C428" s="190">
        <v>35</v>
      </c>
      <c r="D428" s="191" t="s">
        <v>3381</v>
      </c>
      <c r="E428" s="192">
        <v>356</v>
      </c>
      <c r="F428" s="192" t="s">
        <v>3410</v>
      </c>
      <c r="G428" s="233"/>
      <c r="H428" s="222" t="str">
        <f>HYPERLINK("http://bsdd.buildingsmart.org/#concept/details/1VNpCk60r4cBNB2Bffz1FI","1VNpCk60r4cBNB2Bffz1FI")</f>
        <v>1VNpCk60r4cBNB2Bffz1FI</v>
      </c>
      <c r="I428" s="120" t="s">
        <v>5065</v>
      </c>
      <c r="J428" s="195" t="s">
        <v>4160</v>
      </c>
      <c r="K428" s="191" t="s">
        <v>3014</v>
      </c>
      <c r="L428" s="251" t="s">
        <v>4161</v>
      </c>
      <c r="M428" s="203" t="s">
        <v>3016</v>
      </c>
      <c r="N428" s="192" t="s">
        <v>1027</v>
      </c>
      <c r="O428" s="192" t="s">
        <v>1032</v>
      </c>
      <c r="P428" s="206" t="s">
        <v>1033</v>
      </c>
      <c r="Q428" s="199" t="s">
        <v>1034</v>
      </c>
      <c r="R428" s="199" t="s">
        <v>1035</v>
      </c>
      <c r="S428" s="199" t="s">
        <v>1037</v>
      </c>
      <c r="T428" s="203"/>
      <c r="U428" s="198"/>
      <c r="V428" s="198"/>
      <c r="W428" s="198"/>
      <c r="X428" s="198"/>
      <c r="Y428" s="198"/>
      <c r="Z428" s="202" t="str">
        <f t="shared" si="0"/>
        <v>RLOM Coverings</v>
      </c>
      <c r="AA428" s="172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</row>
    <row r="429" spans="1:40" ht="36" customHeight="1">
      <c r="A429" s="190">
        <v>3</v>
      </c>
      <c r="B429" s="190" t="s">
        <v>538</v>
      </c>
      <c r="C429" s="190">
        <v>36</v>
      </c>
      <c r="D429" s="191" t="s">
        <v>3431</v>
      </c>
      <c r="E429" s="192">
        <v>361</v>
      </c>
      <c r="F429" s="192" t="s">
        <v>3432</v>
      </c>
      <c r="G429" s="233"/>
      <c r="H429" s="222" t="str">
        <f>HYPERLINK("http://bsdd.buildingsmart.org/#concept/details/036RVlhonEa9EV6LLgouGC","036RVlhonEa9EV6LLgouGC")</f>
        <v>036RVlhonEa9EV6LLgouGC</v>
      </c>
      <c r="I429" s="122" t="s">
        <v>5066</v>
      </c>
      <c r="J429" s="195" t="s">
        <v>4162</v>
      </c>
      <c r="K429" s="195" t="s">
        <v>4163</v>
      </c>
      <c r="L429" s="251" t="s">
        <v>4164</v>
      </c>
      <c r="M429" s="198"/>
      <c r="N429" s="203" t="s">
        <v>893</v>
      </c>
      <c r="O429" s="203" t="s">
        <v>895</v>
      </c>
      <c r="P429" s="191" t="s">
        <v>896</v>
      </c>
      <c r="Q429" s="203" t="s">
        <v>3435</v>
      </c>
      <c r="R429" s="203" t="s">
        <v>3436</v>
      </c>
      <c r="S429" s="203" t="s">
        <v>573</v>
      </c>
      <c r="T429" s="203"/>
      <c r="U429" s="198"/>
      <c r="V429" s="198"/>
      <c r="W429" s="198"/>
      <c r="X429" s="198"/>
      <c r="Y429" s="198"/>
      <c r="Z429" s="202" t="str">
        <f t="shared" si="0"/>
        <v>RLOM DuctFittings</v>
      </c>
      <c r="AA429" s="172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</row>
    <row r="430" spans="1:40" ht="36" customHeight="1">
      <c r="A430" s="190">
        <v>3</v>
      </c>
      <c r="B430" s="190" t="s">
        <v>538</v>
      </c>
      <c r="C430" s="190">
        <v>36</v>
      </c>
      <c r="D430" s="191" t="s">
        <v>3431</v>
      </c>
      <c r="E430" s="192">
        <v>361</v>
      </c>
      <c r="F430" s="192" t="s">
        <v>3432</v>
      </c>
      <c r="G430" s="233"/>
      <c r="H430" s="222" t="str">
        <f>HYPERLINK("http://bsdd.buildingsmart.org/#concept/details/3BKoNyderDy86$$uY0F2ox","3BKoNyderDy86$$uY0F2ox")</f>
        <v>3BKoNyderDy86$$uY0F2ox</v>
      </c>
      <c r="I430" s="122" t="s">
        <v>5067</v>
      </c>
      <c r="J430" s="195" t="s">
        <v>3321</v>
      </c>
      <c r="K430" s="195" t="s">
        <v>3437</v>
      </c>
      <c r="L430" s="249" t="s">
        <v>4165</v>
      </c>
      <c r="M430" s="198"/>
      <c r="N430" s="203" t="s">
        <v>893</v>
      </c>
      <c r="O430" s="203" t="s">
        <v>895</v>
      </c>
      <c r="P430" s="191" t="s">
        <v>896</v>
      </c>
      <c r="Q430" s="203" t="s">
        <v>3435</v>
      </c>
      <c r="R430" s="203" t="s">
        <v>3436</v>
      </c>
      <c r="S430" s="203" t="s">
        <v>728</v>
      </c>
      <c r="T430" s="203"/>
      <c r="U430" s="198"/>
      <c r="V430" s="198"/>
      <c r="W430" s="198"/>
      <c r="X430" s="198"/>
      <c r="Y430" s="198"/>
      <c r="Z430" s="202" t="str">
        <f t="shared" si="0"/>
        <v>RLOM DuctFittings</v>
      </c>
      <c r="AA430" s="172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</row>
    <row r="431" spans="1:40" ht="36" customHeight="1">
      <c r="A431" s="190">
        <v>3</v>
      </c>
      <c r="B431" s="190" t="s">
        <v>538</v>
      </c>
      <c r="C431" s="190">
        <v>36</v>
      </c>
      <c r="D431" s="191" t="s">
        <v>3431</v>
      </c>
      <c r="E431" s="192">
        <v>361</v>
      </c>
      <c r="F431" s="192" t="s">
        <v>3432</v>
      </c>
      <c r="G431" s="233"/>
      <c r="H431" s="222" t="str">
        <f>HYPERLINK("http://bsdd.buildingsmart.org/#concept/details/2wtRzIDPL5D9jhSDry8GMw","2wtRzIDPL5D9jhSDry8GMw")</f>
        <v>2wtRzIDPL5D9jhSDry8GMw</v>
      </c>
      <c r="I431" s="122" t="s">
        <v>5068</v>
      </c>
      <c r="J431" s="195" t="s">
        <v>4166</v>
      </c>
      <c r="K431" s="191" t="s">
        <v>3441</v>
      </c>
      <c r="L431" s="249" t="s">
        <v>4167</v>
      </c>
      <c r="M431" s="198"/>
      <c r="N431" s="203" t="s">
        <v>893</v>
      </c>
      <c r="O431" s="203" t="s">
        <v>895</v>
      </c>
      <c r="P431" s="191" t="s">
        <v>896</v>
      </c>
      <c r="Q431" s="203" t="s">
        <v>3443</v>
      </c>
      <c r="R431" s="203" t="s">
        <v>3444</v>
      </c>
      <c r="S431" s="203" t="s">
        <v>824</v>
      </c>
      <c r="T431" s="203"/>
      <c r="U431" s="198"/>
      <c r="V431" s="198"/>
      <c r="W431" s="198"/>
      <c r="X431" s="198"/>
      <c r="Y431" s="198"/>
      <c r="Z431" s="202" t="str">
        <f t="shared" si="0"/>
        <v>RLOM DuctSegments</v>
      </c>
      <c r="AA431" s="172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</row>
    <row r="432" spans="1:40" ht="36" customHeight="1">
      <c r="A432" s="190">
        <v>3</v>
      </c>
      <c r="B432" s="190" t="s">
        <v>538</v>
      </c>
      <c r="C432" s="190">
        <v>36</v>
      </c>
      <c r="D432" s="191" t="s">
        <v>3431</v>
      </c>
      <c r="E432" s="192">
        <v>361</v>
      </c>
      <c r="F432" s="192" t="s">
        <v>3432</v>
      </c>
      <c r="G432" s="233"/>
      <c r="H432" s="222" t="str">
        <f>HYPERLINK("http://bsdd.buildingsmart.org/#concept/details/14AYX6CJ1EqeBuUI7G2cP2","14AYX6CJ1EqeBuUI7G2cP2")</f>
        <v>14AYX6CJ1EqeBuUI7G2cP2</v>
      </c>
      <c r="I432" s="122" t="s">
        <v>5069</v>
      </c>
      <c r="J432" s="195" t="s">
        <v>4168</v>
      </c>
      <c r="K432" s="191" t="s">
        <v>3441</v>
      </c>
      <c r="L432" s="249" t="s">
        <v>4169</v>
      </c>
      <c r="M432" s="198"/>
      <c r="N432" s="203" t="s">
        <v>893</v>
      </c>
      <c r="O432" s="203" t="s">
        <v>895</v>
      </c>
      <c r="P432" s="191" t="s">
        <v>896</v>
      </c>
      <c r="Q432" s="203" t="s">
        <v>3443</v>
      </c>
      <c r="R432" s="203" t="s">
        <v>3444</v>
      </c>
      <c r="S432" s="203" t="s">
        <v>811</v>
      </c>
      <c r="T432" s="203"/>
      <c r="U432" s="198"/>
      <c r="V432" s="198"/>
      <c r="W432" s="198"/>
      <c r="X432" s="198"/>
      <c r="Y432" s="198"/>
      <c r="Z432" s="202" t="str">
        <f t="shared" si="0"/>
        <v>RLOM DuctSegments</v>
      </c>
      <c r="AA432" s="172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</row>
    <row r="433" spans="1:40" ht="36" customHeight="1">
      <c r="A433" s="190">
        <v>3</v>
      </c>
      <c r="B433" s="190" t="s">
        <v>538</v>
      </c>
      <c r="C433" s="190">
        <v>36</v>
      </c>
      <c r="D433" s="191" t="s">
        <v>3431</v>
      </c>
      <c r="E433" s="192">
        <v>362</v>
      </c>
      <c r="F433" s="192" t="s">
        <v>3446</v>
      </c>
      <c r="G433" s="233" t="s">
        <v>3447</v>
      </c>
      <c r="H433" s="222" t="str">
        <f>HYPERLINK("http://bsdd.buildingsmart.org/#concept/details/1X9ut6PQ17wgorQHylHKyk","1X9ut6PQ17wgorQHylHKyk")</f>
        <v>1X9ut6PQ17wgorQHylHKyk</v>
      </c>
      <c r="I433" s="122" t="s">
        <v>5070</v>
      </c>
      <c r="J433" s="195" t="s">
        <v>4170</v>
      </c>
      <c r="K433" s="191"/>
      <c r="L433" s="249" t="s">
        <v>4171</v>
      </c>
      <c r="M433" s="198"/>
      <c r="N433" s="203" t="s">
        <v>893</v>
      </c>
      <c r="O433" s="203" t="s">
        <v>895</v>
      </c>
      <c r="P433" s="191" t="s">
        <v>896</v>
      </c>
      <c r="Q433" s="203" t="s">
        <v>3435</v>
      </c>
      <c r="R433" s="203" t="s">
        <v>3436</v>
      </c>
      <c r="S433" s="203" t="s">
        <v>573</v>
      </c>
      <c r="T433" s="203"/>
      <c r="U433" s="198"/>
      <c r="V433" s="198"/>
      <c r="W433" s="198"/>
      <c r="X433" s="198"/>
      <c r="Y433" s="198"/>
      <c r="Z433" s="202" t="str">
        <f t="shared" si="0"/>
        <v>RLOM DuctFittings</v>
      </c>
      <c r="AA433" s="172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</row>
    <row r="434" spans="1:40" ht="36" customHeight="1">
      <c r="A434" s="190">
        <v>3</v>
      </c>
      <c r="B434" s="190" t="s">
        <v>538</v>
      </c>
      <c r="C434" s="190">
        <v>36</v>
      </c>
      <c r="D434" s="191" t="s">
        <v>3431</v>
      </c>
      <c r="E434" s="192">
        <v>362</v>
      </c>
      <c r="F434" s="192" t="s">
        <v>3446</v>
      </c>
      <c r="G434" s="233" t="s">
        <v>3447</v>
      </c>
      <c r="H434" s="222" t="str">
        <f>HYPERLINK("http://bsdd.buildingsmart.org/#concept/details/0JfFrvsp13pO$Bdy75ojG7","0JfFrvsp13pO$Bdy75ojG7")</f>
        <v>0JfFrvsp13pO$Bdy75ojG7</v>
      </c>
      <c r="I434" s="122" t="s">
        <v>5071</v>
      </c>
      <c r="J434" s="195" t="s">
        <v>4172</v>
      </c>
      <c r="K434" s="191"/>
      <c r="L434" s="249" t="s">
        <v>4173</v>
      </c>
      <c r="M434" s="198"/>
      <c r="N434" s="203" t="s">
        <v>893</v>
      </c>
      <c r="O434" s="203" t="s">
        <v>895</v>
      </c>
      <c r="P434" s="191" t="s">
        <v>896</v>
      </c>
      <c r="Q434" s="203" t="s">
        <v>3435</v>
      </c>
      <c r="R434" s="203" t="s">
        <v>3436</v>
      </c>
      <c r="S434" s="203" t="s">
        <v>728</v>
      </c>
      <c r="T434" s="203"/>
      <c r="U434" s="198"/>
      <c r="V434" s="198"/>
      <c r="W434" s="198"/>
      <c r="X434" s="198"/>
      <c r="Y434" s="198"/>
      <c r="Z434" s="202" t="str">
        <f t="shared" si="0"/>
        <v>RLOM DuctFittings</v>
      </c>
      <c r="AA434" s="172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</row>
    <row r="435" spans="1:40" ht="36" customHeight="1">
      <c r="A435" s="190">
        <v>3</v>
      </c>
      <c r="B435" s="190" t="s">
        <v>538</v>
      </c>
      <c r="C435" s="190">
        <v>36</v>
      </c>
      <c r="D435" s="191" t="s">
        <v>3431</v>
      </c>
      <c r="E435" s="192">
        <v>362</v>
      </c>
      <c r="F435" s="192" t="s">
        <v>3446</v>
      </c>
      <c r="G435" s="233" t="s">
        <v>3447</v>
      </c>
      <c r="H435" s="222" t="str">
        <f>HYPERLINK("http://bsdd.buildingsmart.org/#concept/details/3FGloc5bv6e9ZqNIfsyxKb","3FGloc5bv6e9ZqNIfsyxKb")</f>
        <v>3FGloc5bv6e9ZqNIfsyxKb</v>
      </c>
      <c r="I435" s="122" t="s">
        <v>5072</v>
      </c>
      <c r="J435" s="195" t="s">
        <v>4174</v>
      </c>
      <c r="K435" s="191"/>
      <c r="L435" s="249" t="s">
        <v>4175</v>
      </c>
      <c r="M435" s="198"/>
      <c r="N435" s="203" t="s">
        <v>893</v>
      </c>
      <c r="O435" s="203" t="s">
        <v>895</v>
      </c>
      <c r="P435" s="191" t="s">
        <v>896</v>
      </c>
      <c r="Q435" s="203" t="s">
        <v>3443</v>
      </c>
      <c r="R435" s="203" t="s">
        <v>3444</v>
      </c>
      <c r="S435" s="203" t="s">
        <v>824</v>
      </c>
      <c r="T435" s="203"/>
      <c r="U435" s="198"/>
      <c r="V435" s="198"/>
      <c r="W435" s="198"/>
      <c r="X435" s="198"/>
      <c r="Y435" s="198"/>
      <c r="Z435" s="202" t="str">
        <f t="shared" si="0"/>
        <v>RLOM DuctSegments</v>
      </c>
      <c r="AA435" s="172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</row>
    <row r="436" spans="1:40" ht="36" customHeight="1">
      <c r="A436" s="190">
        <v>3</v>
      </c>
      <c r="B436" s="190" t="s">
        <v>538</v>
      </c>
      <c r="C436" s="190">
        <v>36</v>
      </c>
      <c r="D436" s="191" t="s">
        <v>3431</v>
      </c>
      <c r="E436" s="192">
        <v>362</v>
      </c>
      <c r="F436" s="192" t="s">
        <v>3446</v>
      </c>
      <c r="G436" s="233" t="s">
        <v>3447</v>
      </c>
      <c r="H436" s="222" t="str">
        <f>HYPERLINK("http://bsdd.buildingsmart.org/#concept/details/3ysjxb$SH2jui06xIZpLGZ","3ysjxb$SH2jui06xIZpLGZ")</f>
        <v>3ysjxb$SH2jui06xIZpLGZ</v>
      </c>
      <c r="I436" s="122" t="s">
        <v>5073</v>
      </c>
      <c r="J436" s="195" t="s">
        <v>4176</v>
      </c>
      <c r="K436" s="191"/>
      <c r="L436" s="249" t="s">
        <v>4177</v>
      </c>
      <c r="M436" s="198"/>
      <c r="N436" s="203" t="s">
        <v>893</v>
      </c>
      <c r="O436" s="203" t="s">
        <v>895</v>
      </c>
      <c r="P436" s="191" t="s">
        <v>896</v>
      </c>
      <c r="Q436" s="203" t="s">
        <v>3443</v>
      </c>
      <c r="R436" s="203" t="s">
        <v>3444</v>
      </c>
      <c r="S436" s="203" t="s">
        <v>811</v>
      </c>
      <c r="T436" s="203"/>
      <c r="U436" s="198"/>
      <c r="V436" s="198"/>
      <c r="W436" s="198"/>
      <c r="X436" s="198"/>
      <c r="Y436" s="198"/>
      <c r="Z436" s="202" t="str">
        <f t="shared" si="0"/>
        <v>RLOM DuctSegments</v>
      </c>
      <c r="AA436" s="172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</row>
    <row r="437" spans="1:40" ht="27" customHeight="1">
      <c r="A437" s="190">
        <v>3</v>
      </c>
      <c r="B437" s="190" t="s">
        <v>538</v>
      </c>
      <c r="C437" s="190">
        <v>36</v>
      </c>
      <c r="D437" s="191" t="s">
        <v>3431</v>
      </c>
      <c r="E437" s="192">
        <v>362</v>
      </c>
      <c r="F437" s="192" t="s">
        <v>3446</v>
      </c>
      <c r="G437" s="191"/>
      <c r="H437" s="222" t="str">
        <f>HYPERLINK("http://bsdd.buildingsmart.org/#concept/details/12htQAVSmHtm00025QrE$V","12htQAVSmHtm00025QrE$V")</f>
        <v>12htQAVSmHtm00025QrE$V</v>
      </c>
      <c r="I437" s="124" t="s">
        <v>3456</v>
      </c>
      <c r="J437" s="232" t="s">
        <v>4178</v>
      </c>
      <c r="K437" s="191" t="s">
        <v>3459</v>
      </c>
      <c r="L437" s="249" t="s">
        <v>4179</v>
      </c>
      <c r="M437" s="198"/>
      <c r="N437" s="203" t="s">
        <v>1309</v>
      </c>
      <c r="O437" s="203" t="s">
        <v>1310</v>
      </c>
      <c r="P437" s="191" t="s">
        <v>1312</v>
      </c>
      <c r="Q437" s="203" t="s">
        <v>3460</v>
      </c>
      <c r="R437" s="203" t="s">
        <v>1315</v>
      </c>
      <c r="S437" s="198" t="s">
        <v>1316</v>
      </c>
      <c r="T437" s="203"/>
      <c r="U437" s="200"/>
      <c r="V437" s="200"/>
      <c r="W437" s="226"/>
      <c r="X437" s="226"/>
      <c r="Y437" s="226"/>
      <c r="Z437" s="202" t="str">
        <f t="shared" si="0"/>
        <v>RLOM StackTerminals</v>
      </c>
      <c r="AA437" s="172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</row>
    <row r="438" spans="1:40" ht="54" customHeight="1">
      <c r="A438" s="190">
        <v>3</v>
      </c>
      <c r="B438" s="190" t="s">
        <v>538</v>
      </c>
      <c r="C438" s="190">
        <v>36</v>
      </c>
      <c r="D438" s="191" t="s">
        <v>3431</v>
      </c>
      <c r="E438" s="192">
        <v>362</v>
      </c>
      <c r="F438" s="192" t="s">
        <v>3446</v>
      </c>
      <c r="G438" s="191"/>
      <c r="H438" s="222" t="str">
        <f>HYPERLINK("http://bsdd.buildingsmart.org/#concept/details/3rqNQvwQrAfABDt8peyZuI","3rqNQvwQrAfABDt8peyZuI")</f>
        <v>3rqNQvwQrAfABDt8peyZuI</v>
      </c>
      <c r="I438" s="123" t="s">
        <v>3463</v>
      </c>
      <c r="J438" s="195" t="s">
        <v>4180</v>
      </c>
      <c r="K438" s="191" t="s">
        <v>3464</v>
      </c>
      <c r="L438" s="249" t="s">
        <v>4181</v>
      </c>
      <c r="M438" s="198"/>
      <c r="N438" s="203" t="s">
        <v>3465</v>
      </c>
      <c r="O438" s="203" t="s">
        <v>1926</v>
      </c>
      <c r="P438" s="191" t="s">
        <v>3466</v>
      </c>
      <c r="Q438" s="203" t="s">
        <v>3460</v>
      </c>
      <c r="R438" s="203" t="s">
        <v>1315</v>
      </c>
      <c r="S438" s="198" t="s">
        <v>3467</v>
      </c>
      <c r="T438" s="203"/>
      <c r="U438" s="200"/>
      <c r="V438" s="200"/>
      <c r="W438" s="226"/>
      <c r="X438" s="226"/>
      <c r="Y438" s="226"/>
      <c r="Z438" s="202" t="str">
        <f t="shared" si="0"/>
        <v>RLOM StackTerminals</v>
      </c>
      <c r="AA438" s="172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</row>
    <row r="439" spans="1:40" ht="12.75" customHeight="1">
      <c r="A439" s="190">
        <v>3</v>
      </c>
      <c r="B439" s="190" t="s">
        <v>538</v>
      </c>
      <c r="C439" s="190">
        <v>36</v>
      </c>
      <c r="D439" s="191" t="s">
        <v>3431</v>
      </c>
      <c r="E439" s="192">
        <v>364</v>
      </c>
      <c r="F439" s="192" t="s">
        <v>3468</v>
      </c>
      <c r="G439" s="233"/>
      <c r="H439" s="222" t="str">
        <f>HYPERLINK("http://bsdd.buildingsmart.org/#concept/details/2RgbUw60b1mu_Mflwh6N$z","2RgbUw60b1mu_Mflwh6N$z")</f>
        <v>2RgbUw60b1mu_Mflwh6N$z</v>
      </c>
      <c r="I439" s="120" t="s">
        <v>5074</v>
      </c>
      <c r="J439" s="195" t="s">
        <v>4182</v>
      </c>
      <c r="K439" s="191" t="s">
        <v>3470</v>
      </c>
      <c r="L439" s="249" t="s">
        <v>4183</v>
      </c>
      <c r="M439" s="198"/>
      <c r="N439" s="203" t="s">
        <v>3471</v>
      </c>
      <c r="O439" s="203" t="s">
        <v>2418</v>
      </c>
      <c r="P439" s="191"/>
      <c r="Q439" s="203" t="s">
        <v>3472</v>
      </c>
      <c r="R439" s="203" t="s">
        <v>3473</v>
      </c>
      <c r="S439" s="203" t="s">
        <v>3474</v>
      </c>
      <c r="T439" s="203"/>
      <c r="U439" s="198"/>
      <c r="V439" s="198"/>
      <c r="W439" s="198"/>
      <c r="X439" s="198"/>
      <c r="Y439" s="198"/>
      <c r="Z439" s="202" t="str">
        <f t="shared" si="0"/>
        <v>RLOM AirTerminalBoxs</v>
      </c>
      <c r="AA439" s="172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</row>
    <row r="440" spans="1:40" ht="21.75" customHeight="1">
      <c r="A440" s="190">
        <v>3</v>
      </c>
      <c r="B440" s="190" t="s">
        <v>538</v>
      </c>
      <c r="C440" s="190">
        <v>36</v>
      </c>
      <c r="D440" s="191" t="s">
        <v>3431</v>
      </c>
      <c r="E440" s="192">
        <v>364</v>
      </c>
      <c r="F440" s="192" t="s">
        <v>3468</v>
      </c>
      <c r="G440" s="233"/>
      <c r="H440" s="222" t="str">
        <f>HYPERLINK("http://bsdd.buildingsmart.org/#concept/details/2fjqGro4L4WfUFkiJDkzbU","2fjqGro4L4WfUFkiJDkzbU")</f>
        <v>2fjqGro4L4WfUFkiJDkzbU</v>
      </c>
      <c r="I440" s="120" t="s">
        <v>3477</v>
      </c>
      <c r="J440" s="195" t="s">
        <v>4184</v>
      </c>
      <c r="K440" s="191" t="s">
        <v>3478</v>
      </c>
      <c r="L440" s="249" t="s">
        <v>4184</v>
      </c>
      <c r="M440" s="198"/>
      <c r="N440" s="203" t="s">
        <v>3479</v>
      </c>
      <c r="O440" s="203" t="s">
        <v>3480</v>
      </c>
      <c r="P440" s="191" t="s">
        <v>3477</v>
      </c>
      <c r="Q440" s="203" t="s">
        <v>3481</v>
      </c>
      <c r="R440" s="203" t="s">
        <v>3482</v>
      </c>
      <c r="S440" s="203" t="s">
        <v>3483</v>
      </c>
      <c r="T440" s="203"/>
      <c r="U440" s="198"/>
      <c r="V440" s="198"/>
      <c r="W440" s="198"/>
      <c r="X440" s="198"/>
      <c r="Y440" s="198"/>
      <c r="Z440" s="202" t="str">
        <f t="shared" si="0"/>
        <v>RLOM UnitaryEquipments</v>
      </c>
      <c r="AA440" s="172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</row>
    <row r="441" spans="1:40" ht="27" customHeight="1">
      <c r="A441" s="190">
        <v>3</v>
      </c>
      <c r="B441" s="190" t="s">
        <v>538</v>
      </c>
      <c r="C441" s="190">
        <v>36</v>
      </c>
      <c r="D441" s="191" t="s">
        <v>3431</v>
      </c>
      <c r="E441" s="192">
        <v>364</v>
      </c>
      <c r="F441" s="192" t="s">
        <v>3468</v>
      </c>
      <c r="G441" s="233"/>
      <c r="H441" s="222" t="str">
        <f>HYPERLINK("http://bsdd.buildingsmart.org/#concept/details/1TYo5EATzDnAmNgPcJpKrP","1TYo5EATzDnAmNgPcJpKrP")</f>
        <v>1TYo5EATzDnAmNgPcJpKrP</v>
      </c>
      <c r="I441" s="120" t="s">
        <v>3484</v>
      </c>
      <c r="J441" s="195" t="s">
        <v>4185</v>
      </c>
      <c r="K441" s="191" t="s">
        <v>3485</v>
      </c>
      <c r="L441" s="249" t="s">
        <v>4186</v>
      </c>
      <c r="M441" s="198"/>
      <c r="N441" s="203" t="s">
        <v>1309</v>
      </c>
      <c r="O441" s="203" t="s">
        <v>1310</v>
      </c>
      <c r="P441" s="191" t="s">
        <v>1312</v>
      </c>
      <c r="Q441" s="203" t="s">
        <v>3486</v>
      </c>
      <c r="R441" s="203" t="s">
        <v>3487</v>
      </c>
      <c r="S441" s="203" t="s">
        <v>3488</v>
      </c>
      <c r="T441" s="203" t="s">
        <v>3489</v>
      </c>
      <c r="U441" s="198"/>
      <c r="V441" s="198"/>
      <c r="W441" s="198"/>
      <c r="X441" s="198"/>
      <c r="Y441" s="198"/>
      <c r="Z441" s="202" t="str">
        <f t="shared" si="0"/>
        <v>RLOM AirTerminals</v>
      </c>
      <c r="AA441" s="172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</row>
    <row r="442" spans="1:40" ht="27" customHeight="1">
      <c r="A442" s="190">
        <v>3</v>
      </c>
      <c r="B442" s="190" t="s">
        <v>538</v>
      </c>
      <c r="C442" s="190">
        <v>36</v>
      </c>
      <c r="D442" s="191" t="s">
        <v>3431</v>
      </c>
      <c r="E442" s="192">
        <v>364</v>
      </c>
      <c r="F442" s="192" t="s">
        <v>3468</v>
      </c>
      <c r="G442" s="233"/>
      <c r="H442" s="222" t="str">
        <f>HYPERLINK("http://bsdd.buildingsmart.org/#concept/details/1$VgUWOMb5QOPAbXWCP0I0","1$VgUWOMb5QOPAbXWCP0I0")</f>
        <v>1$VgUWOMb5QOPAbXWCP0I0</v>
      </c>
      <c r="I442" s="120" t="s">
        <v>3492</v>
      </c>
      <c r="J442" s="195" t="s">
        <v>4187</v>
      </c>
      <c r="K442" s="191" t="s">
        <v>3493</v>
      </c>
      <c r="L442" s="249" t="s">
        <v>4188</v>
      </c>
      <c r="M442" s="198"/>
      <c r="N442" s="203" t="s">
        <v>1309</v>
      </c>
      <c r="O442" s="203" t="s">
        <v>1310</v>
      </c>
      <c r="P442" s="191" t="s">
        <v>1312</v>
      </c>
      <c r="Q442" s="203" t="s">
        <v>3486</v>
      </c>
      <c r="R442" s="203" t="s">
        <v>3487</v>
      </c>
      <c r="S442" s="203" t="s">
        <v>3494</v>
      </c>
      <c r="T442" s="203" t="s">
        <v>3489</v>
      </c>
      <c r="U442" s="198"/>
      <c r="V442" s="198"/>
      <c r="W442" s="198"/>
      <c r="X442" s="198"/>
      <c r="Y442" s="198"/>
      <c r="Z442" s="202" t="str">
        <f t="shared" si="0"/>
        <v>RLOM AirTerminals</v>
      </c>
      <c r="AA442" s="172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</row>
    <row r="443" spans="1:40" ht="12.75" customHeight="1">
      <c r="A443" s="190">
        <v>3</v>
      </c>
      <c r="B443" s="190" t="s">
        <v>538</v>
      </c>
      <c r="C443" s="190">
        <v>36</v>
      </c>
      <c r="D443" s="191" t="s">
        <v>3431</v>
      </c>
      <c r="E443" s="192">
        <v>364</v>
      </c>
      <c r="F443" s="192" t="s">
        <v>3468</v>
      </c>
      <c r="G443" s="233"/>
      <c r="H443" s="222" t="str">
        <f>HYPERLINK("http://bsdd.buildingsmart.org/#concept/details/3NWQlueM58yRp$bRZPOPCF","3NWQlueM58yRp$bRZPOPCF")</f>
        <v>3NWQlueM58yRp$bRZPOPCF</v>
      </c>
      <c r="I443" s="120" t="s">
        <v>3495</v>
      </c>
      <c r="J443" s="195" t="s">
        <v>4189</v>
      </c>
      <c r="K443" s="191" t="s">
        <v>3496</v>
      </c>
      <c r="L443" s="249" t="s">
        <v>4190</v>
      </c>
      <c r="M443" s="198"/>
      <c r="N443" s="203" t="s">
        <v>2923</v>
      </c>
      <c r="O443" s="203" t="s">
        <v>2919</v>
      </c>
      <c r="P443" s="191" t="s">
        <v>3495</v>
      </c>
      <c r="Q443" s="203" t="s">
        <v>2783</v>
      </c>
      <c r="R443" s="203"/>
      <c r="S443" s="203"/>
      <c r="T443" s="203"/>
      <c r="U443" s="198"/>
      <c r="V443" s="198"/>
      <c r="W443" s="198"/>
      <c r="X443" s="198"/>
      <c r="Y443" s="198"/>
      <c r="Z443" s="202" t="str">
        <f t="shared" si="0"/>
        <v>RLOM Furnitures</v>
      </c>
      <c r="AA443" s="172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</row>
    <row r="444" spans="1:40" ht="12.75" customHeight="1">
      <c r="A444" s="190">
        <v>3</v>
      </c>
      <c r="B444" s="190" t="s">
        <v>538</v>
      </c>
      <c r="C444" s="190">
        <v>36</v>
      </c>
      <c r="D444" s="191" t="s">
        <v>3431</v>
      </c>
      <c r="E444" s="192">
        <v>364</v>
      </c>
      <c r="F444" s="192" t="s">
        <v>3468</v>
      </c>
      <c r="G444" s="233"/>
      <c r="H444" s="222" t="str">
        <f>HYPERLINK("http://bsdd.buildingsmart.org/#concept/details/1YRdjbQw96Rvn1KbXYfVpU","1YRdjbQw96Rvn1KbXYfVpU")</f>
        <v>1YRdjbQw96Rvn1KbXYfVpU</v>
      </c>
      <c r="I444" s="120" t="s">
        <v>3499</v>
      </c>
      <c r="J444" s="195" t="s">
        <v>4191</v>
      </c>
      <c r="K444" s="191"/>
      <c r="L444" s="249" t="s">
        <v>4192</v>
      </c>
      <c r="M444" s="198"/>
      <c r="N444" s="203" t="s">
        <v>2923</v>
      </c>
      <c r="O444" s="203" t="s">
        <v>2919</v>
      </c>
      <c r="P444" s="191" t="s">
        <v>3501</v>
      </c>
      <c r="Q444" s="203" t="s">
        <v>3481</v>
      </c>
      <c r="R444" s="203" t="s">
        <v>3482</v>
      </c>
      <c r="S444" s="203" t="s">
        <v>3483</v>
      </c>
      <c r="T444" s="203"/>
      <c r="U444" s="198"/>
      <c r="V444" s="198"/>
      <c r="W444" s="198"/>
      <c r="X444" s="198"/>
      <c r="Y444" s="198"/>
      <c r="Z444" s="202" t="str">
        <f t="shared" si="0"/>
        <v>RLOM UnitaryEquipments</v>
      </c>
      <c r="AA444" s="172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</row>
    <row r="445" spans="1:40" ht="12.75" customHeight="1">
      <c r="A445" s="190">
        <v>3</v>
      </c>
      <c r="B445" s="190" t="s">
        <v>538</v>
      </c>
      <c r="C445" s="190">
        <v>36</v>
      </c>
      <c r="D445" s="191" t="s">
        <v>3431</v>
      </c>
      <c r="E445" s="192">
        <v>364</v>
      </c>
      <c r="F445" s="192" t="s">
        <v>3468</v>
      </c>
      <c r="G445" s="233"/>
      <c r="H445" s="222" t="str">
        <f>HYPERLINK("http://bsdd.buildingsmart.org/#concept/details/0nyNkobfjDdObHDGgfuKiF","0nyNkobfjDdObHDGgfuKiF")</f>
        <v>0nyNkobfjDdObHDGgfuKiF</v>
      </c>
      <c r="I445" s="120" t="s">
        <v>3502</v>
      </c>
      <c r="J445" s="195" t="s">
        <v>4193</v>
      </c>
      <c r="K445" s="191"/>
      <c r="L445" s="249" t="s">
        <v>4194</v>
      </c>
      <c r="M445" s="198"/>
      <c r="N445" s="203" t="s">
        <v>2923</v>
      </c>
      <c r="O445" s="203" t="s">
        <v>2919</v>
      </c>
      <c r="P445" s="191" t="s">
        <v>3501</v>
      </c>
      <c r="Q445" s="203" t="s">
        <v>3486</v>
      </c>
      <c r="R445" s="203" t="s">
        <v>3487</v>
      </c>
      <c r="S445" s="203" t="s">
        <v>3504</v>
      </c>
      <c r="T445" s="203" t="s">
        <v>3505</v>
      </c>
      <c r="U445" s="198"/>
      <c r="V445" s="198"/>
      <c r="W445" s="198"/>
      <c r="X445" s="198"/>
      <c r="Y445" s="198"/>
      <c r="Z445" s="202" t="str">
        <f t="shared" si="0"/>
        <v>RLOM AirTerminals</v>
      </c>
      <c r="AA445" s="172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</row>
    <row r="446" spans="1:40" ht="12.75" customHeight="1">
      <c r="A446" s="190">
        <v>3</v>
      </c>
      <c r="B446" s="190" t="s">
        <v>538</v>
      </c>
      <c r="C446" s="190">
        <v>36</v>
      </c>
      <c r="D446" s="191" t="s">
        <v>3431</v>
      </c>
      <c r="E446" s="192">
        <v>364</v>
      </c>
      <c r="F446" s="192" t="s">
        <v>3468</v>
      </c>
      <c r="G446" s="233"/>
      <c r="H446" s="222" t="str">
        <f>HYPERLINK("http://bsdd.buildingsmart.org/#concept/details/1f8zvA5kv188z$RL$a4Wxo","1f8zvA5kv188z$RL$a4Wxo")</f>
        <v>1f8zvA5kv188z$RL$a4Wxo</v>
      </c>
      <c r="I446" s="120" t="s">
        <v>3508</v>
      </c>
      <c r="J446" s="195" t="s">
        <v>4195</v>
      </c>
      <c r="K446" s="191" t="s">
        <v>3496</v>
      </c>
      <c r="L446" s="249" t="s">
        <v>4196</v>
      </c>
      <c r="M446" s="198"/>
      <c r="N446" s="203" t="s">
        <v>2923</v>
      </c>
      <c r="O446" s="203" t="s">
        <v>2919</v>
      </c>
      <c r="P446" s="191" t="s">
        <v>3508</v>
      </c>
      <c r="Q446" s="203" t="s">
        <v>2783</v>
      </c>
      <c r="R446" s="203"/>
      <c r="S446" s="203"/>
      <c r="T446" s="203"/>
      <c r="U446" s="198"/>
      <c r="V446" s="198"/>
      <c r="W446" s="198"/>
      <c r="X446" s="198"/>
      <c r="Y446" s="198"/>
      <c r="Z446" s="202" t="str">
        <f t="shared" si="0"/>
        <v>RLOM Furnitures</v>
      </c>
      <c r="AA446" s="172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</row>
    <row r="447" spans="1:40" ht="12.75" customHeight="1">
      <c r="A447" s="190">
        <v>3</v>
      </c>
      <c r="B447" s="190" t="s">
        <v>538</v>
      </c>
      <c r="C447" s="190">
        <v>36</v>
      </c>
      <c r="D447" s="191" t="s">
        <v>3431</v>
      </c>
      <c r="E447" s="192">
        <v>364</v>
      </c>
      <c r="F447" s="192" t="s">
        <v>3468</v>
      </c>
      <c r="G447" s="233"/>
      <c r="H447" s="222" t="str">
        <f>HYPERLINK("http://bsdd.buildingsmart.org/#concept/details/1VTAVTm_17Ie3JHwtxy9o2","1VTAVTm_17Ie3JHwtxy9o2")</f>
        <v>1VTAVTm_17Ie3JHwtxy9o2</v>
      </c>
      <c r="I447" s="120" t="s">
        <v>3509</v>
      </c>
      <c r="J447" s="195" t="s">
        <v>4197</v>
      </c>
      <c r="K447" s="191" t="s">
        <v>3496</v>
      </c>
      <c r="L447" s="249" t="s">
        <v>4198</v>
      </c>
      <c r="M447" s="198"/>
      <c r="N447" s="203" t="s">
        <v>2923</v>
      </c>
      <c r="O447" s="203" t="s">
        <v>2919</v>
      </c>
      <c r="P447" s="191"/>
      <c r="Q447" s="203" t="s">
        <v>2783</v>
      </c>
      <c r="R447" s="203"/>
      <c r="S447" s="203"/>
      <c r="T447" s="203"/>
      <c r="U447" s="198"/>
      <c r="V447" s="198"/>
      <c r="W447" s="198"/>
      <c r="X447" s="198"/>
      <c r="Y447" s="198"/>
      <c r="Z447" s="202" t="str">
        <f t="shared" si="0"/>
        <v>RLOM Furnitures</v>
      </c>
      <c r="AA447" s="172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</row>
    <row r="448" spans="1:40" ht="21.75" customHeight="1">
      <c r="A448" s="190">
        <v>3</v>
      </c>
      <c r="B448" s="190" t="s">
        <v>538</v>
      </c>
      <c r="C448" s="190">
        <v>36</v>
      </c>
      <c r="D448" s="191" t="s">
        <v>3431</v>
      </c>
      <c r="E448" s="192">
        <v>364</v>
      </c>
      <c r="F448" s="192" t="s">
        <v>3468</v>
      </c>
      <c r="G448" s="233"/>
      <c r="H448" s="222" t="str">
        <f>HYPERLINK("http://bsdd.buildingsmart.org/#concept/details/35JwnXFIn9evljYaqHKInc","35JwnXFIn9evljYaqHKInc")</f>
        <v>35JwnXFIn9evljYaqHKInc</v>
      </c>
      <c r="I448" s="120" t="s">
        <v>3512</v>
      </c>
      <c r="J448" s="195" t="s">
        <v>4199</v>
      </c>
      <c r="K448" s="191"/>
      <c r="L448" s="249" t="s">
        <v>4200</v>
      </c>
      <c r="M448" s="198"/>
      <c r="N448" s="203" t="s">
        <v>3513</v>
      </c>
      <c r="O448" s="203" t="s">
        <v>3514</v>
      </c>
      <c r="P448" s="191"/>
      <c r="Q448" s="203" t="s">
        <v>3515</v>
      </c>
      <c r="R448" s="203" t="s">
        <v>3516</v>
      </c>
      <c r="S448" s="203" t="s">
        <v>3517</v>
      </c>
      <c r="T448" s="203" t="s">
        <v>3518</v>
      </c>
      <c r="U448" s="198"/>
      <c r="V448" s="198"/>
      <c r="W448" s="198"/>
      <c r="X448" s="198"/>
      <c r="Y448" s="198"/>
      <c r="Z448" s="202" t="str">
        <f t="shared" si="0"/>
        <v>RLOM Dampers</v>
      </c>
      <c r="AA448" s="172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</row>
    <row r="449" spans="1:40" ht="21.75" customHeight="1">
      <c r="A449" s="190">
        <v>3</v>
      </c>
      <c r="B449" s="190" t="s">
        <v>538</v>
      </c>
      <c r="C449" s="190">
        <v>36</v>
      </c>
      <c r="D449" s="191" t="s">
        <v>3431</v>
      </c>
      <c r="E449" s="192">
        <v>364</v>
      </c>
      <c r="F449" s="192" t="s">
        <v>3468</v>
      </c>
      <c r="G449" s="233"/>
      <c r="H449" s="222" t="str">
        <f>HYPERLINK("http://bsdd.buildingsmart.org/#concept/details/1RFsy4B1X4HOvPlJM_erwm","1RFsy4B1X4HOvPlJM_erwm")</f>
        <v>1RFsy4B1X4HOvPlJM_erwm</v>
      </c>
      <c r="I449" s="120" t="s">
        <v>3519</v>
      </c>
      <c r="J449" s="195" t="s">
        <v>4201</v>
      </c>
      <c r="K449" s="191" t="s">
        <v>3520</v>
      </c>
      <c r="L449" s="249" t="s">
        <v>4202</v>
      </c>
      <c r="M449" s="198"/>
      <c r="N449" s="203" t="s">
        <v>3522</v>
      </c>
      <c r="O449" s="203" t="s">
        <v>3523</v>
      </c>
      <c r="P449" s="191"/>
      <c r="Q449" s="203" t="s">
        <v>3524</v>
      </c>
      <c r="R449" s="203" t="s">
        <v>3473</v>
      </c>
      <c r="S449" s="203" t="s">
        <v>3525</v>
      </c>
      <c r="T449" s="203"/>
      <c r="U449" s="198"/>
      <c r="V449" s="198"/>
      <c r="W449" s="198"/>
      <c r="X449" s="198"/>
      <c r="Y449" s="198"/>
      <c r="Z449" s="202" t="str">
        <f t="shared" si="0"/>
        <v>RLOM AirTerminalBox s</v>
      </c>
      <c r="AA449" s="172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</row>
    <row r="450" spans="1:40" ht="18" customHeight="1">
      <c r="A450" s="190">
        <v>3</v>
      </c>
      <c r="B450" s="190" t="s">
        <v>538</v>
      </c>
      <c r="C450" s="190">
        <v>36</v>
      </c>
      <c r="D450" s="191" t="s">
        <v>3431</v>
      </c>
      <c r="E450" s="192">
        <v>364</v>
      </c>
      <c r="F450" s="192" t="s">
        <v>3468</v>
      </c>
      <c r="G450" s="233"/>
      <c r="H450" s="222" t="str">
        <f>HYPERLINK("http://bsdd.buildingsmart.org/#concept/details/2FlGPkyLb9cArstrAMI3I8","2FlGPkyLb9cArstrAMI3I8")</f>
        <v>2FlGPkyLb9cArstrAMI3I8</v>
      </c>
      <c r="I450" s="120" t="s">
        <v>3527</v>
      </c>
      <c r="J450" s="195" t="s">
        <v>4203</v>
      </c>
      <c r="K450" s="191" t="s">
        <v>3528</v>
      </c>
      <c r="L450" s="249" t="s">
        <v>4204</v>
      </c>
      <c r="M450" s="198"/>
      <c r="N450" s="203" t="s">
        <v>3529</v>
      </c>
      <c r="O450" s="203" t="s">
        <v>3527</v>
      </c>
      <c r="P450" s="191" t="s">
        <v>3530</v>
      </c>
      <c r="Q450" s="203" t="s">
        <v>3486</v>
      </c>
      <c r="R450" s="203" t="s">
        <v>3487</v>
      </c>
      <c r="S450" s="203" t="s">
        <v>3504</v>
      </c>
      <c r="T450" s="203" t="s">
        <v>3505</v>
      </c>
      <c r="U450" s="198"/>
      <c r="V450" s="236"/>
      <c r="W450" s="198"/>
      <c r="X450" s="116"/>
      <c r="Y450" s="198"/>
      <c r="Z450" s="202" t="str">
        <f t="shared" si="0"/>
        <v>RLOM AirTerminals</v>
      </c>
      <c r="AA450" s="172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</row>
    <row r="451" spans="1:40" ht="12.75" customHeight="1">
      <c r="A451" s="190">
        <v>3</v>
      </c>
      <c r="B451" s="190" t="s">
        <v>538</v>
      </c>
      <c r="C451" s="190">
        <v>36</v>
      </c>
      <c r="D451" s="191" t="s">
        <v>3431</v>
      </c>
      <c r="E451" s="192">
        <v>364</v>
      </c>
      <c r="F451" s="192" t="s">
        <v>3468</v>
      </c>
      <c r="G451" s="233"/>
      <c r="H451" s="222" t="str">
        <f>HYPERLINK("http://bsdd.buildingsmart.org/#concept/details/1QVsKRmv13XhxFyGPSBskK","1QVsKRmv13XhxFyGPSBskK")</f>
        <v>1QVsKRmv13XhxFyGPSBskK</v>
      </c>
      <c r="I451" s="120" t="s">
        <v>3531</v>
      </c>
      <c r="J451" s="195" t="s">
        <v>4205</v>
      </c>
      <c r="K451" s="191" t="s">
        <v>3532</v>
      </c>
      <c r="L451" s="249" t="s">
        <v>4206</v>
      </c>
      <c r="M451" s="198"/>
      <c r="N451" s="203" t="s">
        <v>3529</v>
      </c>
      <c r="O451" s="203" t="s">
        <v>3527</v>
      </c>
      <c r="P451" s="191" t="s">
        <v>3530</v>
      </c>
      <c r="Q451" s="203" t="s">
        <v>3486</v>
      </c>
      <c r="R451" s="203" t="s">
        <v>3487</v>
      </c>
      <c r="S451" s="203" t="s">
        <v>3504</v>
      </c>
      <c r="T451" s="203" t="s">
        <v>3505</v>
      </c>
      <c r="U451" s="198"/>
      <c r="V451" s="236"/>
      <c r="W451" s="198"/>
      <c r="X451" s="116"/>
      <c r="Y451" s="198"/>
      <c r="Z451" s="202" t="str">
        <f t="shared" si="0"/>
        <v>RLOM AirTerminals</v>
      </c>
      <c r="AA451" s="172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</row>
    <row r="452" spans="1:40" ht="12.75" customHeight="1">
      <c r="A452" s="190">
        <v>3</v>
      </c>
      <c r="B452" s="190" t="s">
        <v>538</v>
      </c>
      <c r="C452" s="190">
        <v>36</v>
      </c>
      <c r="D452" s="191" t="s">
        <v>3431</v>
      </c>
      <c r="E452" s="192">
        <v>364</v>
      </c>
      <c r="F452" s="192" t="s">
        <v>3468</v>
      </c>
      <c r="G452" s="233"/>
      <c r="H452" s="222" t="str">
        <f>HYPERLINK("http://bsdd.buildingsmart.org/#concept/details/0Aqxjgx893dvfDKoMNHlPB","0Aqxjgx893dvfDKoMNHlPB")</f>
        <v>0Aqxjgx893dvfDKoMNHlPB</v>
      </c>
      <c r="I452" s="120" t="s">
        <v>3533</v>
      </c>
      <c r="J452" s="195" t="s">
        <v>4207</v>
      </c>
      <c r="K452" s="191" t="s">
        <v>3534</v>
      </c>
      <c r="L452" s="249" t="s">
        <v>4208</v>
      </c>
      <c r="M452" s="198"/>
      <c r="N452" s="203" t="s">
        <v>3529</v>
      </c>
      <c r="O452" s="203" t="s">
        <v>3527</v>
      </c>
      <c r="P452" s="191" t="s">
        <v>3530</v>
      </c>
      <c r="Q452" s="203" t="s">
        <v>3486</v>
      </c>
      <c r="R452" s="203" t="s">
        <v>3487</v>
      </c>
      <c r="S452" s="203" t="s">
        <v>3488</v>
      </c>
      <c r="T452" s="203" t="s">
        <v>3505</v>
      </c>
      <c r="U452" s="198"/>
      <c r="V452" s="236"/>
      <c r="W452" s="198"/>
      <c r="X452" s="116"/>
      <c r="Y452" s="198"/>
      <c r="Z452" s="202" t="str">
        <f t="shared" si="0"/>
        <v>RLOM AirTerminals</v>
      </c>
      <c r="AA452" s="172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</row>
    <row r="453" spans="1:40" ht="24" customHeight="1">
      <c r="A453" s="190">
        <v>3</v>
      </c>
      <c r="B453" s="190" t="s">
        <v>538</v>
      </c>
      <c r="C453" s="190">
        <v>36</v>
      </c>
      <c r="D453" s="191" t="s">
        <v>3431</v>
      </c>
      <c r="E453" s="192">
        <v>364</v>
      </c>
      <c r="F453" s="192" t="s">
        <v>3468</v>
      </c>
      <c r="G453" s="233"/>
      <c r="H453" s="222" t="str">
        <f>HYPERLINK("http://bsdd.buildingsmart.org/#concept/details/3vHXuWoT0Hsm00051Mm008","3vHXuWoT0Hsm00051Mm008")</f>
        <v>3vHXuWoT0Hsm00051Mm008</v>
      </c>
      <c r="I453" s="120" t="s">
        <v>5075</v>
      </c>
      <c r="J453" s="195" t="s">
        <v>4209</v>
      </c>
      <c r="K453" s="191" t="s">
        <v>3537</v>
      </c>
      <c r="L453" s="249" t="s">
        <v>4210</v>
      </c>
      <c r="M453" s="198"/>
      <c r="N453" s="203" t="s">
        <v>3529</v>
      </c>
      <c r="O453" s="203" t="s">
        <v>3527</v>
      </c>
      <c r="P453" s="191" t="s">
        <v>3530</v>
      </c>
      <c r="Q453" s="203" t="s">
        <v>3486</v>
      </c>
      <c r="R453" s="203" t="s">
        <v>3487</v>
      </c>
      <c r="S453" s="203" t="s">
        <v>3504</v>
      </c>
      <c r="T453" s="203" t="s">
        <v>3505</v>
      </c>
      <c r="U453" s="198"/>
      <c r="V453" s="198"/>
      <c r="W453" s="198"/>
      <c r="X453" s="198"/>
      <c r="Y453" s="198"/>
      <c r="Z453" s="202" t="str">
        <f t="shared" si="0"/>
        <v>RLOM AirTerminals</v>
      </c>
      <c r="AA453" s="172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</row>
    <row r="454" spans="1:40" ht="12.75" customHeight="1">
      <c r="A454" s="190">
        <v>3</v>
      </c>
      <c r="B454" s="190" t="s">
        <v>538</v>
      </c>
      <c r="C454" s="190">
        <v>36</v>
      </c>
      <c r="D454" s="191" t="s">
        <v>3431</v>
      </c>
      <c r="E454" s="192">
        <v>364</v>
      </c>
      <c r="F454" s="192" t="s">
        <v>3468</v>
      </c>
      <c r="G454" s="233"/>
      <c r="H454" s="222" t="str">
        <f>HYPERLINK("http://bsdd.buildingsmart.org/#concept/details/2KixHCEgj7AuAYHKyz$kws","2KixHCEgj7AuAYHKyz$kws")</f>
        <v>2KixHCEgj7AuAYHKyz$kws</v>
      </c>
      <c r="I454" s="120" t="s">
        <v>3539</v>
      </c>
      <c r="J454" s="195" t="s">
        <v>4211</v>
      </c>
      <c r="K454" s="191" t="s">
        <v>3496</v>
      </c>
      <c r="L454" s="249" t="s">
        <v>4212</v>
      </c>
      <c r="M454" s="198"/>
      <c r="N454" s="203" t="s">
        <v>2923</v>
      </c>
      <c r="O454" s="203" t="s">
        <v>2919</v>
      </c>
      <c r="P454" s="191" t="s">
        <v>3508</v>
      </c>
      <c r="Q454" s="203" t="s">
        <v>2783</v>
      </c>
      <c r="R454" s="203"/>
      <c r="S454" s="203"/>
      <c r="T454" s="203"/>
      <c r="U454" s="198"/>
      <c r="V454" s="198"/>
      <c r="W454" s="198"/>
      <c r="X454" s="117"/>
      <c r="Y454" s="198"/>
      <c r="Z454" s="202" t="str">
        <f t="shared" si="0"/>
        <v>RLOM Furnitures</v>
      </c>
      <c r="AA454" s="172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</row>
    <row r="455" spans="1:40" ht="27" customHeight="1">
      <c r="A455" s="190">
        <v>3</v>
      </c>
      <c r="B455" s="190" t="s">
        <v>538</v>
      </c>
      <c r="C455" s="190">
        <v>36</v>
      </c>
      <c r="D455" s="191" t="s">
        <v>3431</v>
      </c>
      <c r="E455" s="192">
        <v>364</v>
      </c>
      <c r="F455" s="192" t="s">
        <v>3468</v>
      </c>
      <c r="G455" s="233"/>
      <c r="H455" s="222" t="str">
        <f>HYPERLINK("http://bsdd.buildingsmart.org/#concept/details/0efa5EnFjDqQQ8BsDWDcJn","0efa5EnFjDqQQ8BsDWDcJn")</f>
        <v>0efa5EnFjDqQQ8BsDWDcJn</v>
      </c>
      <c r="I455" s="120" t="s">
        <v>3542</v>
      </c>
      <c r="J455" s="195" t="s">
        <v>4213</v>
      </c>
      <c r="K455" s="191" t="s">
        <v>3543</v>
      </c>
      <c r="L455" s="249" t="s">
        <v>4214</v>
      </c>
      <c r="M455" s="198"/>
      <c r="N455" s="203" t="s">
        <v>1309</v>
      </c>
      <c r="O455" s="203" t="s">
        <v>1310</v>
      </c>
      <c r="P455" s="191" t="s">
        <v>1312</v>
      </c>
      <c r="Q455" s="203" t="s">
        <v>3486</v>
      </c>
      <c r="R455" s="203" t="s">
        <v>3487</v>
      </c>
      <c r="S455" s="203" t="s">
        <v>3494</v>
      </c>
      <c r="T455" s="203" t="s">
        <v>3544</v>
      </c>
      <c r="U455" s="198"/>
      <c r="V455" s="198"/>
      <c r="W455" s="198"/>
      <c r="X455" s="198"/>
      <c r="Y455" s="198"/>
      <c r="Z455" s="202" t="str">
        <f t="shared" si="0"/>
        <v>RLOM AirTerminals</v>
      </c>
      <c r="AA455" s="172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</row>
    <row r="456" spans="1:40" ht="27" customHeight="1">
      <c r="A456" s="190">
        <v>3</v>
      </c>
      <c r="B456" s="190" t="s">
        <v>538</v>
      </c>
      <c r="C456" s="190">
        <v>36</v>
      </c>
      <c r="D456" s="191" t="s">
        <v>3431</v>
      </c>
      <c r="E456" s="192">
        <v>364</v>
      </c>
      <c r="F456" s="192" t="s">
        <v>3468</v>
      </c>
      <c r="G456" s="233"/>
      <c r="H456" s="222" t="str">
        <f>HYPERLINK("http://bsdd.buildingsmart.org/#concept/details/0JiP2hN95DnfDuRvrV$1yj","0JiP2hN95DnfDuRvrV$1yj")</f>
        <v>0JiP2hN95DnfDuRvrV$1yj</v>
      </c>
      <c r="I456" s="120" t="s">
        <v>3545</v>
      </c>
      <c r="J456" s="195" t="s">
        <v>4215</v>
      </c>
      <c r="K456" s="191" t="s">
        <v>3546</v>
      </c>
      <c r="L456" s="249" t="s">
        <v>4215</v>
      </c>
      <c r="M456" s="198"/>
      <c r="N456" s="203" t="s">
        <v>1309</v>
      </c>
      <c r="O456" s="203" t="s">
        <v>1310</v>
      </c>
      <c r="P456" s="191" t="s">
        <v>1312</v>
      </c>
      <c r="Q456" s="203" t="s">
        <v>3486</v>
      </c>
      <c r="R456" s="203" t="s">
        <v>3487</v>
      </c>
      <c r="S456" s="203" t="s">
        <v>3488</v>
      </c>
      <c r="T456" s="203" t="s">
        <v>3489</v>
      </c>
      <c r="U456" s="198"/>
      <c r="V456" s="198"/>
      <c r="W456" s="198"/>
      <c r="X456" s="116"/>
      <c r="Y456" s="198"/>
      <c r="Z456" s="202" t="str">
        <f t="shared" si="0"/>
        <v>RLOM AirTerminals</v>
      </c>
      <c r="AA456" s="172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</row>
    <row r="457" spans="1:40" ht="12.75" customHeight="1">
      <c r="A457" s="190"/>
      <c r="B457" s="190" t="s">
        <v>538</v>
      </c>
      <c r="C457" s="190">
        <v>36</v>
      </c>
      <c r="D457" s="191" t="s">
        <v>3431</v>
      </c>
      <c r="E457" s="192">
        <v>364</v>
      </c>
      <c r="F457" s="192" t="s">
        <v>3468</v>
      </c>
      <c r="G457" s="233"/>
      <c r="H457" s="222" t="str">
        <f>HYPERLINK("http://bsdd.buildingsmart.org/#concept/details/3EwwAD54T4fPY0F8jS3bmB","3EwwAD54T4fPY0F8jS3bmB")</f>
        <v>3EwwAD54T4fPY0F8jS3bmB</v>
      </c>
      <c r="I457" s="120" t="s">
        <v>3548</v>
      </c>
      <c r="J457" s="195" t="s">
        <v>4216</v>
      </c>
      <c r="K457" s="191" t="s">
        <v>3496</v>
      </c>
      <c r="L457" s="249" t="s">
        <v>4217</v>
      </c>
      <c r="M457" s="198"/>
      <c r="N457" s="203" t="s">
        <v>2923</v>
      </c>
      <c r="O457" s="203" t="s">
        <v>2919</v>
      </c>
      <c r="P457" s="191" t="s">
        <v>3508</v>
      </c>
      <c r="Q457" s="203" t="s">
        <v>2783</v>
      </c>
      <c r="R457" s="203"/>
      <c r="S457" s="203"/>
      <c r="T457" s="203"/>
      <c r="U457" s="198"/>
      <c r="V457" s="198"/>
      <c r="W457" s="198"/>
      <c r="X457" s="117"/>
      <c r="Y457" s="198"/>
      <c r="Z457" s="202" t="str">
        <f t="shared" si="0"/>
        <v>RLOM Furnitures</v>
      </c>
      <c r="AA457" s="172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</row>
    <row r="458" spans="1:40" ht="12.75" customHeight="1">
      <c r="A458" s="190">
        <v>3</v>
      </c>
      <c r="B458" s="190" t="s">
        <v>538</v>
      </c>
      <c r="C458" s="190">
        <v>36</v>
      </c>
      <c r="D458" s="191" t="s">
        <v>3431</v>
      </c>
      <c r="E458" s="192">
        <v>364</v>
      </c>
      <c r="F458" s="192" t="s">
        <v>3468</v>
      </c>
      <c r="G458" s="233"/>
      <c r="H458" s="222" t="str">
        <f>HYPERLINK("http://bsdd.buildingsmart.org/#concept/details/1HN6xN61PFJv_YGCtL3PlB","1HN6xN61PFJv_YGCtL3PlB")</f>
        <v>1HN6xN61PFJv_YGCtL3PlB</v>
      </c>
      <c r="I458" s="120" t="s">
        <v>3550</v>
      </c>
      <c r="J458" s="195" t="s">
        <v>4218</v>
      </c>
      <c r="K458" s="191" t="s">
        <v>3496</v>
      </c>
      <c r="L458" s="249" t="s">
        <v>4219</v>
      </c>
      <c r="M458" s="198"/>
      <c r="N458" s="203" t="s">
        <v>2923</v>
      </c>
      <c r="O458" s="203" t="s">
        <v>2919</v>
      </c>
      <c r="P458" s="191" t="s">
        <v>3551</v>
      </c>
      <c r="Q458" s="203" t="s">
        <v>2783</v>
      </c>
      <c r="R458" s="203"/>
      <c r="S458" s="203"/>
      <c r="T458" s="203"/>
      <c r="U458" s="198"/>
      <c r="V458" s="198"/>
      <c r="W458" s="198"/>
      <c r="X458" s="117"/>
      <c r="Y458" s="198"/>
      <c r="Z458" s="202" t="str">
        <f t="shared" si="0"/>
        <v>RLOM Furnitures</v>
      </c>
      <c r="AA458" s="172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</row>
    <row r="459" spans="1:40" ht="12.75" customHeight="1">
      <c r="A459" s="190">
        <v>3</v>
      </c>
      <c r="B459" s="190" t="s">
        <v>538</v>
      </c>
      <c r="C459" s="190">
        <v>36</v>
      </c>
      <c r="D459" s="191" t="s">
        <v>3431</v>
      </c>
      <c r="E459" s="192">
        <v>364</v>
      </c>
      <c r="F459" s="192" t="s">
        <v>3468</v>
      </c>
      <c r="G459" s="233"/>
      <c r="H459" s="222" t="str">
        <f>HYPERLINK("http://bsdd.buildingsmart.org/#concept/details/1DXfwAWJOHu000025QrE$V","1DXfwAWJOHu000025QrE$V")</f>
        <v>1DXfwAWJOHu000025QrE$V</v>
      </c>
      <c r="I459" s="120" t="s">
        <v>3552</v>
      </c>
      <c r="J459" s="195" t="s">
        <v>4220</v>
      </c>
      <c r="K459" s="213" t="s">
        <v>3554</v>
      </c>
      <c r="L459" s="249" t="s">
        <v>4221</v>
      </c>
      <c r="M459" s="198"/>
      <c r="N459" s="203" t="s">
        <v>3557</v>
      </c>
      <c r="O459" s="203" t="s">
        <v>3558</v>
      </c>
      <c r="P459" s="191" t="s">
        <v>3559</v>
      </c>
      <c r="Q459" s="203" t="s">
        <v>3560</v>
      </c>
      <c r="R459" s="203"/>
      <c r="S459" s="203"/>
      <c r="T459" s="203"/>
      <c r="U459" s="198"/>
      <c r="V459" s="198"/>
      <c r="W459" s="198"/>
      <c r="X459" s="198"/>
      <c r="Y459" s="198"/>
      <c r="Z459" s="202" t="str">
        <f t="shared" si="0"/>
        <v>RLOM DuctSilencers</v>
      </c>
      <c r="AA459" s="172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</row>
    <row r="460" spans="1:40" ht="36" customHeight="1">
      <c r="A460" s="190">
        <v>3</v>
      </c>
      <c r="B460" s="190" t="s">
        <v>538</v>
      </c>
      <c r="C460" s="190">
        <v>36</v>
      </c>
      <c r="D460" s="191" t="s">
        <v>3431</v>
      </c>
      <c r="E460" s="192">
        <v>364</v>
      </c>
      <c r="F460" s="192" t="s">
        <v>3468</v>
      </c>
      <c r="G460" s="233"/>
      <c r="H460" s="222" t="str">
        <f>HYPERLINK("http://bsdd.buildingsmart.org/#concept/details/1k4RY4pavFGPoeA22m8TQC","1k4RY4pavFGPoeA22m8TQC")</f>
        <v>1k4RY4pavFGPoeA22m8TQC</v>
      </c>
      <c r="I460" s="120" t="s">
        <v>3561</v>
      </c>
      <c r="J460" s="195" t="s">
        <v>4222</v>
      </c>
      <c r="K460" s="191" t="s">
        <v>3562</v>
      </c>
      <c r="L460" s="249" t="s">
        <v>4223</v>
      </c>
      <c r="M460" s="198"/>
      <c r="N460" s="203" t="s">
        <v>2637</v>
      </c>
      <c r="O460" s="203" t="s">
        <v>2640</v>
      </c>
      <c r="P460" s="191" t="s">
        <v>3564</v>
      </c>
      <c r="Q460" s="203" t="s">
        <v>986</v>
      </c>
      <c r="R460" s="203" t="s">
        <v>987</v>
      </c>
      <c r="S460" s="203" t="s">
        <v>3194</v>
      </c>
      <c r="T460" s="203"/>
      <c r="U460" s="198"/>
      <c r="V460" s="198"/>
      <c r="W460" s="198"/>
      <c r="X460" s="198"/>
      <c r="Y460" s="198"/>
      <c r="Z460" s="202" t="str">
        <f t="shared" si="0"/>
        <v>RLOM Valves</v>
      </c>
      <c r="AA460" s="172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</row>
    <row r="461" spans="1:40" ht="24" customHeight="1">
      <c r="A461" s="190">
        <v>3</v>
      </c>
      <c r="B461" s="190" t="s">
        <v>538</v>
      </c>
      <c r="C461" s="190">
        <v>36</v>
      </c>
      <c r="D461" s="191" t="s">
        <v>3431</v>
      </c>
      <c r="E461" s="192">
        <v>364</v>
      </c>
      <c r="F461" s="192" t="s">
        <v>3468</v>
      </c>
      <c r="G461" s="233"/>
      <c r="H461" s="222" t="str">
        <f>HYPERLINK("http://bsdd.buildingsmart.org/#concept/details/28HYoxmgHCnBOnWqX2gmMt","28HYoxmgHCnBOnWqX2gmMt")</f>
        <v>28HYoxmgHCnBOnWqX2gmMt</v>
      </c>
      <c r="I461" s="120" t="s">
        <v>3565</v>
      </c>
      <c r="J461" s="195" t="s">
        <v>4224</v>
      </c>
      <c r="K461" s="191" t="s">
        <v>3566</v>
      </c>
      <c r="L461" s="249" t="s">
        <v>4225</v>
      </c>
      <c r="M461" s="198"/>
      <c r="N461" s="203" t="s">
        <v>2637</v>
      </c>
      <c r="O461" s="203" t="s">
        <v>2640</v>
      </c>
      <c r="P461" s="191" t="s">
        <v>3564</v>
      </c>
      <c r="Q461" s="203" t="s">
        <v>986</v>
      </c>
      <c r="R461" s="203" t="s">
        <v>987</v>
      </c>
      <c r="S461" s="203" t="s">
        <v>3194</v>
      </c>
      <c r="T461" s="203"/>
      <c r="U461" s="198"/>
      <c r="V461" s="198"/>
      <c r="W461" s="198"/>
      <c r="X461" s="198"/>
      <c r="Y461" s="198"/>
      <c r="Z461" s="202" t="str">
        <f t="shared" si="0"/>
        <v>RLOM Valves</v>
      </c>
      <c r="AA461" s="172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</row>
    <row r="462" spans="1:40" ht="24" customHeight="1">
      <c r="A462" s="190">
        <v>3</v>
      </c>
      <c r="B462" s="190" t="s">
        <v>538</v>
      </c>
      <c r="C462" s="190">
        <v>36</v>
      </c>
      <c r="D462" s="191" t="s">
        <v>3431</v>
      </c>
      <c r="E462" s="192">
        <v>364</v>
      </c>
      <c r="F462" s="192" t="s">
        <v>3468</v>
      </c>
      <c r="G462" s="233"/>
      <c r="H462" s="222" t="str">
        <f>HYPERLINK("http://bsdd.buildingsmart.org/#concept/details/0QhKFpwu5BpuzmPpOSu$9G","0QhKFpwu5BpuzmPpOSu$9G")</f>
        <v>0QhKFpwu5BpuzmPpOSu$9G</v>
      </c>
      <c r="I462" s="120" t="s">
        <v>3569</v>
      </c>
      <c r="J462" s="195" t="s">
        <v>4226</v>
      </c>
      <c r="K462" s="191"/>
      <c r="L462" s="249" t="s">
        <v>4227</v>
      </c>
      <c r="M462" s="198"/>
      <c r="N462" s="203" t="s">
        <v>2637</v>
      </c>
      <c r="O462" s="203" t="s">
        <v>2640</v>
      </c>
      <c r="P462" s="191" t="s">
        <v>3564</v>
      </c>
      <c r="Q462" s="203" t="s">
        <v>986</v>
      </c>
      <c r="R462" s="203" t="s">
        <v>987</v>
      </c>
      <c r="S462" s="203" t="s">
        <v>3194</v>
      </c>
      <c r="T462" s="203"/>
      <c r="U462" s="198"/>
      <c r="V462" s="198"/>
      <c r="W462" s="198"/>
      <c r="X462" s="198"/>
      <c r="Y462" s="198"/>
      <c r="Z462" s="202" t="str">
        <f t="shared" si="0"/>
        <v>RLOM Valves</v>
      </c>
      <c r="AA462" s="172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</row>
    <row r="463" spans="1:40" ht="24" customHeight="1">
      <c r="A463" s="190">
        <v>3</v>
      </c>
      <c r="B463" s="190" t="s">
        <v>538</v>
      </c>
      <c r="C463" s="190">
        <v>36</v>
      </c>
      <c r="D463" s="191" t="s">
        <v>3431</v>
      </c>
      <c r="E463" s="192">
        <v>364</v>
      </c>
      <c r="F463" s="192" t="s">
        <v>3468</v>
      </c>
      <c r="G463" s="233"/>
      <c r="H463" s="222" t="str">
        <f>HYPERLINK("http://bsdd.buildingsmart.org/#concept/details/32c97IAGf3v8wwQSdmuxk7","32c97IAGf3v8wwQSdmuxk7")</f>
        <v>32c97IAGf3v8wwQSdmuxk7</v>
      </c>
      <c r="I463" s="120" t="s">
        <v>3570</v>
      </c>
      <c r="J463" s="195" t="s">
        <v>4228</v>
      </c>
      <c r="K463" s="191"/>
      <c r="L463" s="249" t="s">
        <v>4229</v>
      </c>
      <c r="M463" s="198"/>
      <c r="N463" s="203" t="s">
        <v>2637</v>
      </c>
      <c r="O463" s="203" t="s">
        <v>2640</v>
      </c>
      <c r="P463" s="191" t="s">
        <v>3564</v>
      </c>
      <c r="Q463" s="203" t="s">
        <v>986</v>
      </c>
      <c r="R463" s="203" t="s">
        <v>987</v>
      </c>
      <c r="S463" s="203" t="s">
        <v>3194</v>
      </c>
      <c r="T463" s="203"/>
      <c r="U463" s="198"/>
      <c r="V463" s="198"/>
      <c r="W463" s="198"/>
      <c r="X463" s="198"/>
      <c r="Y463" s="198"/>
      <c r="Z463" s="202" t="str">
        <f t="shared" si="0"/>
        <v>RLOM Valves</v>
      </c>
      <c r="AA463" s="172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</row>
    <row r="464" spans="1:40" ht="12.75" customHeight="1">
      <c r="A464" s="190">
        <v>3</v>
      </c>
      <c r="B464" s="190" t="s">
        <v>538</v>
      </c>
      <c r="C464" s="190">
        <v>36</v>
      </c>
      <c r="D464" s="191" t="s">
        <v>3431</v>
      </c>
      <c r="E464" s="192">
        <v>364</v>
      </c>
      <c r="F464" s="192" t="s">
        <v>3468</v>
      </c>
      <c r="G464" s="233"/>
      <c r="H464" s="222" t="str">
        <f>HYPERLINK("http://bsdd.buildingsmart.org/#concept/details/0aBRIHs6X3lBh0E3sMDOAL","0aBRIHs6X3lBh0E3sMDOAL")</f>
        <v>0aBRIHs6X3lBh0E3sMDOAL</v>
      </c>
      <c r="I464" s="120" t="s">
        <v>3571</v>
      </c>
      <c r="J464" s="195" t="s">
        <v>4230</v>
      </c>
      <c r="K464" s="191"/>
      <c r="L464" s="249" t="s">
        <v>4231</v>
      </c>
      <c r="M464" s="198"/>
      <c r="N464" s="203" t="s">
        <v>2923</v>
      </c>
      <c r="O464" s="203" t="s">
        <v>2919</v>
      </c>
      <c r="P464" s="191" t="s">
        <v>3571</v>
      </c>
      <c r="Q464" s="203" t="s">
        <v>3486</v>
      </c>
      <c r="R464" s="203" t="s">
        <v>3487</v>
      </c>
      <c r="S464" s="203" t="s">
        <v>3504</v>
      </c>
      <c r="T464" s="203" t="s">
        <v>3505</v>
      </c>
      <c r="U464" s="198"/>
      <c r="V464" s="198"/>
      <c r="W464" s="198"/>
      <c r="X464" s="198"/>
      <c r="Y464" s="198"/>
      <c r="Z464" s="202" t="str">
        <f t="shared" si="0"/>
        <v>RLOM AirTerminals</v>
      </c>
      <c r="AA464" s="172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</row>
    <row r="465" spans="1:40" ht="12.75" customHeight="1">
      <c r="A465" s="190">
        <v>3</v>
      </c>
      <c r="B465" s="190" t="s">
        <v>538</v>
      </c>
      <c r="C465" s="190">
        <v>36</v>
      </c>
      <c r="D465" s="191" t="s">
        <v>3431</v>
      </c>
      <c r="E465" s="192">
        <v>364</v>
      </c>
      <c r="F465" s="192" t="s">
        <v>3468</v>
      </c>
      <c r="G465" s="233"/>
      <c r="H465" s="222" t="str">
        <f>HYPERLINK("http://bsdd.buildingsmart.org/#concept/details/2ZWrn$2lDC6O0uyfOc2Eqs","2ZWrn$2lDC6O0uyfOc2Eqs")</f>
        <v>2ZWrn$2lDC6O0uyfOc2Eqs</v>
      </c>
      <c r="I465" s="120" t="s">
        <v>3574</v>
      </c>
      <c r="J465" s="195" t="s">
        <v>4232</v>
      </c>
      <c r="K465" s="191" t="s">
        <v>3575</v>
      </c>
      <c r="L465" s="249" t="s">
        <v>4233</v>
      </c>
      <c r="M465" s="198"/>
      <c r="N465" s="203" t="s">
        <v>3576</v>
      </c>
      <c r="O465" s="203" t="s">
        <v>3574</v>
      </c>
      <c r="P465" s="191"/>
      <c r="Q465" s="203" t="s">
        <v>3515</v>
      </c>
      <c r="R465" s="203" t="s">
        <v>3516</v>
      </c>
      <c r="S465" s="203" t="s">
        <v>3577</v>
      </c>
      <c r="T465" s="203" t="s">
        <v>602</v>
      </c>
      <c r="U465" s="198"/>
      <c r="V465" s="198"/>
      <c r="W465" s="198"/>
      <c r="X465" s="198"/>
      <c r="Y465" s="198"/>
      <c r="Z465" s="202" t="str">
        <f t="shared" si="0"/>
        <v>RLOM Dampers</v>
      </c>
      <c r="AA465" s="172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</row>
    <row r="466" spans="1:40" ht="21.75" customHeight="1">
      <c r="A466" s="190">
        <v>3</v>
      </c>
      <c r="B466" s="190" t="s">
        <v>538</v>
      </c>
      <c r="C466" s="190">
        <v>36</v>
      </c>
      <c r="D466" s="191" t="s">
        <v>3431</v>
      </c>
      <c r="E466" s="192">
        <v>364</v>
      </c>
      <c r="F466" s="192" t="s">
        <v>3468</v>
      </c>
      <c r="G466" s="233"/>
      <c r="H466" s="222" t="str">
        <f>HYPERLINK("http://bsdd.buildingsmart.org/#concept/details/29Tz5fYxXBAhudbTd1JIR_","29Tz5fYxXBAhudbTd1JIR_")</f>
        <v>29Tz5fYxXBAhudbTd1JIR_</v>
      </c>
      <c r="I466" s="120" t="s">
        <v>3579</v>
      </c>
      <c r="J466" s="195" t="s">
        <v>4234</v>
      </c>
      <c r="K466" s="191"/>
      <c r="L466" s="249" t="s">
        <v>4235</v>
      </c>
      <c r="M466" s="198"/>
      <c r="N466" s="203" t="s">
        <v>3513</v>
      </c>
      <c r="O466" s="203" t="s">
        <v>3514</v>
      </c>
      <c r="P466" s="191"/>
      <c r="Q466" s="203" t="s">
        <v>3515</v>
      </c>
      <c r="R466" s="203" t="s">
        <v>3516</v>
      </c>
      <c r="S466" s="203" t="s">
        <v>3580</v>
      </c>
      <c r="T466" s="203" t="s">
        <v>3581</v>
      </c>
      <c r="U466" s="198"/>
      <c r="V466" s="198"/>
      <c r="W466" s="198"/>
      <c r="X466" s="198"/>
      <c r="Y466" s="198"/>
      <c r="Z466" s="202" t="str">
        <f t="shared" si="0"/>
        <v>RLOM Dampers</v>
      </c>
      <c r="AA466" s="172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</row>
    <row r="467" spans="1:40" ht="21.75" customHeight="1">
      <c r="A467" s="190">
        <v>3</v>
      </c>
      <c r="B467" s="190" t="s">
        <v>538</v>
      </c>
      <c r="C467" s="190">
        <v>36</v>
      </c>
      <c r="D467" s="191" t="s">
        <v>3431</v>
      </c>
      <c r="E467" s="192">
        <v>364</v>
      </c>
      <c r="F467" s="192" t="s">
        <v>3468</v>
      </c>
      <c r="G467" s="233"/>
      <c r="H467" s="222" t="str">
        <f>HYPERLINK("http://bsdd.buildingsmart.org/#concept/details/1CrZLS6nrFfPylPN$J$_s3","1CrZLS6nrFfPylPN$J$_s3")</f>
        <v>1CrZLS6nrFfPylPN$J$_s3</v>
      </c>
      <c r="I467" s="120" t="s">
        <v>3582</v>
      </c>
      <c r="J467" s="195" t="s">
        <v>4236</v>
      </c>
      <c r="K467" s="191"/>
      <c r="L467" s="249" t="s">
        <v>4237</v>
      </c>
      <c r="M467" s="198"/>
      <c r="N467" s="203" t="s">
        <v>3513</v>
      </c>
      <c r="O467" s="203" t="s">
        <v>3514</v>
      </c>
      <c r="P467" s="191"/>
      <c r="Q467" s="203" t="s">
        <v>3515</v>
      </c>
      <c r="R467" s="203" t="s">
        <v>3516</v>
      </c>
      <c r="S467" s="203" t="s">
        <v>3583</v>
      </c>
      <c r="T467" s="203"/>
      <c r="U467" s="198"/>
      <c r="V467" s="198"/>
      <c r="W467" s="198"/>
      <c r="X467" s="198"/>
      <c r="Y467" s="198"/>
      <c r="Z467" s="202" t="str">
        <f t="shared" si="0"/>
        <v>RLOM Dampers</v>
      </c>
      <c r="AA467" s="172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</row>
    <row r="468" spans="1:40" ht="12.75" customHeight="1">
      <c r="A468" s="190">
        <v>3</v>
      </c>
      <c r="B468" s="190" t="s">
        <v>538</v>
      </c>
      <c r="C468" s="190">
        <v>36</v>
      </c>
      <c r="D468" s="191" t="s">
        <v>3431</v>
      </c>
      <c r="E468" s="192">
        <v>364</v>
      </c>
      <c r="F468" s="192" t="s">
        <v>3468</v>
      </c>
      <c r="G468" s="233"/>
      <c r="H468" s="222" t="str">
        <f>HYPERLINK("http://bsdd.buildingsmart.org/#concept/details/17RjKiCWHBAAOkuu6_Bqc_","17RjKiCWHBAAOkuu6_Bqc_")</f>
        <v>17RjKiCWHBAAOkuu6_Bqc_</v>
      </c>
      <c r="I468" s="120" t="s">
        <v>3584</v>
      </c>
      <c r="J468" s="195" t="s">
        <v>4238</v>
      </c>
      <c r="K468" s="191"/>
      <c r="L468" s="249" t="s">
        <v>4239</v>
      </c>
      <c r="M468" s="198"/>
      <c r="N468" s="203" t="s">
        <v>3585</v>
      </c>
      <c r="O468" s="203" t="s">
        <v>3584</v>
      </c>
      <c r="P468" s="191"/>
      <c r="Q468" s="203" t="s">
        <v>3515</v>
      </c>
      <c r="R468" s="203" t="s">
        <v>3516</v>
      </c>
      <c r="S468" s="203" t="s">
        <v>3588</v>
      </c>
      <c r="T468" s="203"/>
      <c r="U468" s="198"/>
      <c r="V468" s="198"/>
      <c r="W468" s="198"/>
      <c r="X468" s="198"/>
      <c r="Y468" s="198"/>
      <c r="Z468" s="202" t="str">
        <f t="shared" si="0"/>
        <v>RLOM Dampers</v>
      </c>
      <c r="AA468" s="172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</row>
    <row r="469" spans="1:40" ht="24" customHeight="1">
      <c r="A469" s="190">
        <v>3</v>
      </c>
      <c r="B469" s="190" t="s">
        <v>538</v>
      </c>
      <c r="C469" s="190">
        <v>36</v>
      </c>
      <c r="D469" s="191" t="s">
        <v>3431</v>
      </c>
      <c r="E469" s="192">
        <v>364</v>
      </c>
      <c r="F469" s="192" t="s">
        <v>3468</v>
      </c>
      <c r="G469" s="233"/>
      <c r="H469" s="222" t="str">
        <f>HYPERLINK("http://bsdd.buildingsmart.org/#concept/details/0tURQLY4f1sQyxMTFHOdgc","0tURQLY4f1sQyxMTFHOdgc")</f>
        <v>0tURQLY4f1sQyxMTFHOdgc</v>
      </c>
      <c r="I469" s="120" t="s">
        <v>5076</v>
      </c>
      <c r="J469" s="195" t="s">
        <v>4240</v>
      </c>
      <c r="K469" s="191"/>
      <c r="L469" s="249" t="s">
        <v>4241</v>
      </c>
      <c r="M469" s="198"/>
      <c r="N469" s="203" t="s">
        <v>3590</v>
      </c>
      <c r="O469" s="203" t="s">
        <v>3591</v>
      </c>
      <c r="P469" s="191" t="s">
        <v>3592</v>
      </c>
      <c r="Q469" s="203" t="s">
        <v>3593</v>
      </c>
      <c r="R469" s="203"/>
      <c r="S469" s="203"/>
      <c r="T469" s="203"/>
      <c r="U469" s="198"/>
      <c r="V469" s="198"/>
      <c r="W469" s="198"/>
      <c r="X469" s="198"/>
      <c r="Y469" s="198"/>
      <c r="Z469" s="202" t="str">
        <f t="shared" si="0"/>
        <v>RLOM Fans</v>
      </c>
      <c r="AA469" s="172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</row>
    <row r="470" spans="1:40" ht="27" customHeight="1">
      <c r="A470" s="190">
        <v>3</v>
      </c>
      <c r="B470" s="190" t="s">
        <v>538</v>
      </c>
      <c r="C470" s="190">
        <v>36</v>
      </c>
      <c r="D470" s="191" t="s">
        <v>3431</v>
      </c>
      <c r="E470" s="192">
        <v>364</v>
      </c>
      <c r="F470" s="192" t="s">
        <v>3468</v>
      </c>
      <c r="G470" s="233"/>
      <c r="H470" s="208" t="str">
        <f>HYPERLINK("http://bsdd.buildingsmart.org/#concept/details/1Pjw$H5jTDbP71OiwFq2aD","1Pjw$H5jTDbP71OiwFq2aD")</f>
        <v>1Pjw$H5jTDbP71OiwFq2aD</v>
      </c>
      <c r="I470" s="120" t="s">
        <v>5077</v>
      </c>
      <c r="J470" s="195" t="s">
        <v>4242</v>
      </c>
      <c r="K470" s="191" t="s">
        <v>3595</v>
      </c>
      <c r="L470" s="249" t="s">
        <v>4243</v>
      </c>
      <c r="M470" s="198"/>
      <c r="N470" s="203" t="s">
        <v>1309</v>
      </c>
      <c r="O470" s="203" t="s">
        <v>1310</v>
      </c>
      <c r="P470" s="191" t="s">
        <v>1312</v>
      </c>
      <c r="Q470" s="203" t="s">
        <v>3486</v>
      </c>
      <c r="R470" s="203"/>
      <c r="S470" s="203"/>
      <c r="T470" s="203"/>
      <c r="U470" s="198"/>
      <c r="V470" s="198"/>
      <c r="W470" s="198"/>
      <c r="X470" s="198"/>
      <c r="Y470" s="198"/>
      <c r="Z470" s="202" t="str">
        <f t="shared" si="0"/>
        <v>RLOM AirTerminals</v>
      </c>
      <c r="AA470" s="172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</row>
    <row r="471" spans="1:40" ht="27" customHeight="1">
      <c r="A471" s="190">
        <v>3</v>
      </c>
      <c r="B471" s="190" t="s">
        <v>538</v>
      </c>
      <c r="C471" s="190">
        <v>36</v>
      </c>
      <c r="D471" s="191" t="s">
        <v>3431</v>
      </c>
      <c r="E471" s="192">
        <v>364</v>
      </c>
      <c r="F471" s="192" t="s">
        <v>3468</v>
      </c>
      <c r="G471" s="233"/>
      <c r="H471" s="222" t="str">
        <f>HYPERLINK("http://bsdd.buildingsmart.org/#concept/details/1Y6OL0Kgn2yBIDGA09VdTH","1Y6OL0Kgn2yBIDGA09VdTH")</f>
        <v>1Y6OL0Kgn2yBIDGA09VdTH</v>
      </c>
      <c r="I471" s="120" t="s">
        <v>5078</v>
      </c>
      <c r="J471" s="195" t="s">
        <v>4244</v>
      </c>
      <c r="K471" s="191" t="s">
        <v>3600</v>
      </c>
      <c r="L471" s="249" t="s">
        <v>4245</v>
      </c>
      <c r="M471" s="198"/>
      <c r="N471" s="203" t="s">
        <v>1309</v>
      </c>
      <c r="O471" s="203" t="s">
        <v>1310</v>
      </c>
      <c r="P471" s="191" t="s">
        <v>1312</v>
      </c>
      <c r="Q471" s="203" t="s">
        <v>3486</v>
      </c>
      <c r="R471" s="203"/>
      <c r="S471" s="203"/>
      <c r="T471" s="203"/>
      <c r="U471" s="198"/>
      <c r="V471" s="198"/>
      <c r="W471" s="196"/>
      <c r="X471" s="196"/>
      <c r="Y471" s="196"/>
      <c r="Z471" s="202" t="str">
        <f t="shared" si="0"/>
        <v>RLOM AirTerminals</v>
      </c>
      <c r="AA471" s="172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</row>
    <row r="472" spans="1:40" ht="21.75" customHeight="1">
      <c r="A472" s="190">
        <v>3</v>
      </c>
      <c r="B472" s="190" t="s">
        <v>538</v>
      </c>
      <c r="C472" s="190">
        <v>36</v>
      </c>
      <c r="D472" s="191" t="s">
        <v>3431</v>
      </c>
      <c r="E472" s="192">
        <v>364</v>
      </c>
      <c r="F472" s="192" t="s">
        <v>3468</v>
      </c>
      <c r="G472" s="193"/>
      <c r="H472" s="208" t="str">
        <f>HYPERLINK("http://bsdd.buildingsmart.org/#concept/details/3jub2gdlz4fg_xyPwgRtfX","3jub2gdlz4fg_xyPwgRtfX")</f>
        <v>3jub2gdlz4fg_xyPwgRtfX</v>
      </c>
      <c r="I472" s="119" t="s">
        <v>3601</v>
      </c>
      <c r="J472" s="209" t="s">
        <v>4246</v>
      </c>
      <c r="K472" s="206" t="s">
        <v>1051</v>
      </c>
      <c r="L472" s="249" t="s">
        <v>4247</v>
      </c>
      <c r="M472" s="198"/>
      <c r="N472" s="199" t="s">
        <v>1053</v>
      </c>
      <c r="O472" s="199" t="s">
        <v>1054</v>
      </c>
      <c r="P472" s="206"/>
      <c r="Q472" s="203" t="s">
        <v>3515</v>
      </c>
      <c r="R472" s="203" t="s">
        <v>3516</v>
      </c>
      <c r="S472" s="203" t="s">
        <v>3602</v>
      </c>
      <c r="T472" s="203"/>
      <c r="U472" s="198"/>
      <c r="V472" s="198"/>
      <c r="W472" s="196"/>
      <c r="X472" s="196"/>
      <c r="Y472" s="196"/>
      <c r="Z472" s="202" t="str">
        <f t="shared" si="0"/>
        <v>RLOM Dampers</v>
      </c>
      <c r="AA472" s="172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</row>
    <row r="473" spans="1:40" ht="12.75" customHeight="1">
      <c r="A473" s="190">
        <v>3</v>
      </c>
      <c r="B473" s="190" t="s">
        <v>538</v>
      </c>
      <c r="C473" s="190">
        <v>36</v>
      </c>
      <c r="D473" s="191" t="s">
        <v>3431</v>
      </c>
      <c r="E473" s="192">
        <v>364</v>
      </c>
      <c r="F473" s="192" t="s">
        <v>3468</v>
      </c>
      <c r="G473" s="233"/>
      <c r="H473" s="222" t="str">
        <f>HYPERLINK("http://bsdd.buildingsmart.org/#concept/details/3jLDpnqazEBwEV349tT8EI","3jLDpnqazEBwEV349tT8EI")</f>
        <v>3jLDpnqazEBwEV349tT8EI</v>
      </c>
      <c r="I473" s="120" t="s">
        <v>3603</v>
      </c>
      <c r="J473" s="195" t="s">
        <v>4248</v>
      </c>
      <c r="K473" s="191" t="s">
        <v>3604</v>
      </c>
      <c r="L473" s="249" t="s">
        <v>4249</v>
      </c>
      <c r="M473" s="198"/>
      <c r="N473" s="203" t="s">
        <v>3607</v>
      </c>
      <c r="O473" s="203" t="s">
        <v>3608</v>
      </c>
      <c r="P473" s="191" t="s">
        <v>3609</v>
      </c>
      <c r="Q473" s="203" t="s">
        <v>3486</v>
      </c>
      <c r="R473" s="203" t="s">
        <v>3487</v>
      </c>
      <c r="S473" s="203" t="s">
        <v>3504</v>
      </c>
      <c r="T473" s="203" t="s">
        <v>3610</v>
      </c>
      <c r="U473" s="198"/>
      <c r="V473" s="198"/>
      <c r="W473" s="198"/>
      <c r="X473" s="198"/>
      <c r="Y473" s="198"/>
      <c r="Z473" s="202" t="str">
        <f t="shared" si="0"/>
        <v>RLOM AirTerminals</v>
      </c>
      <c r="AA473" s="172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</row>
    <row r="474" spans="1:40" ht="12.75" customHeight="1">
      <c r="A474" s="190">
        <v>3</v>
      </c>
      <c r="B474" s="190" t="s">
        <v>538</v>
      </c>
      <c r="C474" s="190">
        <v>36</v>
      </c>
      <c r="D474" s="191" t="s">
        <v>3431</v>
      </c>
      <c r="E474" s="192">
        <v>364</v>
      </c>
      <c r="F474" s="192" t="s">
        <v>3468</v>
      </c>
      <c r="G474" s="233"/>
      <c r="H474" s="222" t="str">
        <f>HYPERLINK("http://bsdd.buildingsmart.org/#concept/details/3vHb18oT0Hsm00051Mm008","3vHb18oT0Hsm00051Mm008")</f>
        <v>3vHb18oT0Hsm00051Mm008</v>
      </c>
      <c r="I474" s="120" t="s">
        <v>5079</v>
      </c>
      <c r="J474" s="195" t="s">
        <v>4250</v>
      </c>
      <c r="K474" s="191"/>
      <c r="L474" s="249" t="s">
        <v>4251</v>
      </c>
      <c r="M474" s="198"/>
      <c r="N474" s="203" t="s">
        <v>3607</v>
      </c>
      <c r="O474" s="203" t="s">
        <v>3608</v>
      </c>
      <c r="P474" s="191" t="s">
        <v>3609</v>
      </c>
      <c r="Q474" s="203" t="s">
        <v>3486</v>
      </c>
      <c r="R474" s="203" t="s">
        <v>3487</v>
      </c>
      <c r="S474" s="203" t="s">
        <v>3614</v>
      </c>
      <c r="T474" s="203" t="s">
        <v>3610</v>
      </c>
      <c r="U474" s="198"/>
      <c r="V474" s="198"/>
      <c r="W474" s="198"/>
      <c r="X474" s="198"/>
      <c r="Y474" s="198"/>
      <c r="Z474" s="202" t="str">
        <f t="shared" si="0"/>
        <v>RLOM AirTerminals</v>
      </c>
      <c r="AA474" s="172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</row>
    <row r="475" spans="1:40" ht="24" customHeight="1">
      <c r="A475" s="190">
        <v>3</v>
      </c>
      <c r="B475" s="190" t="s">
        <v>538</v>
      </c>
      <c r="C475" s="190">
        <v>36</v>
      </c>
      <c r="D475" s="191" t="s">
        <v>3431</v>
      </c>
      <c r="E475" s="192">
        <v>364</v>
      </c>
      <c r="F475" s="192" t="s">
        <v>3468</v>
      </c>
      <c r="G475" s="233"/>
      <c r="H475" s="222" t="str">
        <f>HYPERLINK("http://bsdd.buildingsmart.org/#concept/details/0WI0nwJOf7L90xXIPiRexS","0WI0nwJOf7L90xXIPiRexS")</f>
        <v>0WI0nwJOf7L90xXIPiRexS</v>
      </c>
      <c r="I475" s="120" t="s">
        <v>5080</v>
      </c>
      <c r="J475" s="195" t="s">
        <v>4252</v>
      </c>
      <c r="K475" s="191"/>
      <c r="L475" s="249" t="s">
        <v>4253</v>
      </c>
      <c r="M475" s="198"/>
      <c r="N475" s="203" t="s">
        <v>3607</v>
      </c>
      <c r="O475" s="203" t="s">
        <v>3608</v>
      </c>
      <c r="P475" s="191" t="s">
        <v>3609</v>
      </c>
      <c r="Q475" s="203" t="s">
        <v>3486</v>
      </c>
      <c r="R475" s="203" t="s">
        <v>3487</v>
      </c>
      <c r="S475" s="203" t="s">
        <v>3488</v>
      </c>
      <c r="T475" s="203" t="s">
        <v>3610</v>
      </c>
      <c r="U475" s="198"/>
      <c r="V475" s="198"/>
      <c r="W475" s="198"/>
      <c r="X475" s="198"/>
      <c r="Y475" s="198"/>
      <c r="Z475" s="202" t="str">
        <f t="shared" si="0"/>
        <v>RLOM AirTerminals</v>
      </c>
      <c r="AA475" s="172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</row>
    <row r="476" spans="1:40" ht="12.75" customHeight="1">
      <c r="A476" s="190">
        <v>3</v>
      </c>
      <c r="B476" s="190" t="s">
        <v>538</v>
      </c>
      <c r="C476" s="190">
        <v>36</v>
      </c>
      <c r="D476" s="191" t="s">
        <v>3431</v>
      </c>
      <c r="E476" s="192">
        <v>364</v>
      </c>
      <c r="F476" s="192" t="s">
        <v>3468</v>
      </c>
      <c r="G476" s="233"/>
      <c r="H476" s="222" t="str">
        <f>HYPERLINK("http://bsdd.buildingsmart.org/#concept/details/1VQeNxUD18SvTCjInZ41R8","1VQeNxUD18SvTCjInZ41R8")</f>
        <v>1VQeNxUD18SvTCjInZ41R8</v>
      </c>
      <c r="I476" s="120" t="s">
        <v>5081</v>
      </c>
      <c r="J476" s="195" t="s">
        <v>4254</v>
      </c>
      <c r="K476" s="191"/>
      <c r="L476" s="249" t="s">
        <v>4255</v>
      </c>
      <c r="M476" s="198"/>
      <c r="N476" s="203" t="s">
        <v>3607</v>
      </c>
      <c r="O476" s="203" t="s">
        <v>3608</v>
      </c>
      <c r="P476" s="191" t="s">
        <v>3618</v>
      </c>
      <c r="Q476" s="203" t="s">
        <v>3486</v>
      </c>
      <c r="R476" s="203" t="s">
        <v>3487</v>
      </c>
      <c r="S476" s="203" t="s">
        <v>3488</v>
      </c>
      <c r="T476" s="203" t="s">
        <v>3610</v>
      </c>
      <c r="U476" s="198"/>
      <c r="V476" s="198"/>
      <c r="W476" s="198"/>
      <c r="X476" s="198"/>
      <c r="Y476" s="198"/>
      <c r="Z476" s="202" t="str">
        <f t="shared" si="0"/>
        <v>RLOM AirTerminals</v>
      </c>
      <c r="AA476" s="172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</row>
    <row r="477" spans="1:40" ht="24" customHeight="1">
      <c r="A477" s="190">
        <v>3</v>
      </c>
      <c r="B477" s="190" t="s">
        <v>538</v>
      </c>
      <c r="C477" s="190">
        <v>36</v>
      </c>
      <c r="D477" s="191" t="s">
        <v>3431</v>
      </c>
      <c r="E477" s="192">
        <v>364</v>
      </c>
      <c r="F477" s="192" t="s">
        <v>3468</v>
      </c>
      <c r="G477" s="233"/>
      <c r="H477" s="222" t="str">
        <f>HYPERLINK("http://bsdd.buildingsmart.org/#concept/details/0nz$qtfU15F8gryRpi0qix","0nz$qtfU15F8gryRpi0qix")</f>
        <v>0nz$qtfU15F8gryRpi0qix</v>
      </c>
      <c r="I477" s="120" t="s">
        <v>5082</v>
      </c>
      <c r="J477" s="195" t="s">
        <v>4256</v>
      </c>
      <c r="K477" s="191" t="s">
        <v>3620</v>
      </c>
      <c r="L477" s="249" t="s">
        <v>4257</v>
      </c>
      <c r="M477" s="198"/>
      <c r="N477" s="203" t="s">
        <v>3607</v>
      </c>
      <c r="O477" s="203" t="s">
        <v>3608</v>
      </c>
      <c r="P477" s="191" t="s">
        <v>3609</v>
      </c>
      <c r="Q477" s="203" t="s">
        <v>3486</v>
      </c>
      <c r="R477" s="203" t="s">
        <v>3487</v>
      </c>
      <c r="S477" s="203" t="s">
        <v>3494</v>
      </c>
      <c r="T477" s="203" t="s">
        <v>3610</v>
      </c>
      <c r="U477" s="198"/>
      <c r="V477" s="198"/>
      <c r="W477" s="198"/>
      <c r="X477" s="198"/>
      <c r="Y477" s="198"/>
      <c r="Z477" s="202" t="str">
        <f t="shared" si="0"/>
        <v>RLOM AirTerminals</v>
      </c>
      <c r="AA477" s="172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</row>
    <row r="478" spans="1:40" ht="21.75" customHeight="1">
      <c r="A478" s="190">
        <v>3</v>
      </c>
      <c r="B478" s="190" t="s">
        <v>538</v>
      </c>
      <c r="C478" s="190">
        <v>36</v>
      </c>
      <c r="D478" s="191" t="s">
        <v>3431</v>
      </c>
      <c r="E478" s="192">
        <v>364</v>
      </c>
      <c r="F478" s="192" t="s">
        <v>3468</v>
      </c>
      <c r="G478" s="233"/>
      <c r="H478" s="222" t="str">
        <f>HYPERLINK("http://bsdd.buildingsmart.org/#concept/details/2pOQypis99KwByDP__rtri","2pOQypis99KwByDP__rtri")</f>
        <v>2pOQypis99KwByDP__rtri</v>
      </c>
      <c r="I478" s="120" t="s">
        <v>3622</v>
      </c>
      <c r="J478" s="195" t="s">
        <v>4258</v>
      </c>
      <c r="K478" s="191" t="s">
        <v>3478</v>
      </c>
      <c r="L478" s="249" t="s">
        <v>4259</v>
      </c>
      <c r="M478" s="198"/>
      <c r="N478" s="203" t="s">
        <v>3479</v>
      </c>
      <c r="O478" s="203" t="s">
        <v>3480</v>
      </c>
      <c r="P478" s="191" t="s">
        <v>3624</v>
      </c>
      <c r="Q478" s="203" t="s">
        <v>3481</v>
      </c>
      <c r="R478" s="203" t="s">
        <v>3482</v>
      </c>
      <c r="S478" s="203" t="s">
        <v>3483</v>
      </c>
      <c r="T478" s="203"/>
      <c r="U478" s="198"/>
      <c r="V478" s="198"/>
      <c r="W478" s="198"/>
      <c r="X478" s="198"/>
      <c r="Y478" s="198"/>
      <c r="Z478" s="202" t="str">
        <f t="shared" si="0"/>
        <v>RLOM UnitaryEquipments</v>
      </c>
      <c r="AA478" s="172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</row>
    <row r="479" spans="1:40" ht="21.75" customHeight="1">
      <c r="A479" s="190">
        <v>3</v>
      </c>
      <c r="B479" s="190" t="s">
        <v>538</v>
      </c>
      <c r="C479" s="190">
        <v>36</v>
      </c>
      <c r="D479" s="191" t="s">
        <v>3431</v>
      </c>
      <c r="E479" s="192">
        <v>364</v>
      </c>
      <c r="F479" s="192" t="s">
        <v>3468</v>
      </c>
      <c r="G479" s="233"/>
      <c r="H479" s="222" t="str">
        <f>HYPERLINK("http://bsdd.buildingsmart.org/#concept/details/06AX9$u1jC19kMWq8aC8Z0","06AX9$u1jC19kMWq8aC8Z0")</f>
        <v>06AX9$u1jC19kMWq8aC8Z0</v>
      </c>
      <c r="I479" s="120" t="s">
        <v>3624</v>
      </c>
      <c r="J479" s="195" t="s">
        <v>4260</v>
      </c>
      <c r="K479" s="191" t="s">
        <v>3625</v>
      </c>
      <c r="L479" s="249" t="s">
        <v>4261</v>
      </c>
      <c r="M479" s="198"/>
      <c r="N479" s="203" t="s">
        <v>3479</v>
      </c>
      <c r="O479" s="203" t="s">
        <v>3480</v>
      </c>
      <c r="P479" s="191" t="s">
        <v>3624</v>
      </c>
      <c r="Q479" s="203" t="s">
        <v>3481</v>
      </c>
      <c r="R479" s="203" t="s">
        <v>3482</v>
      </c>
      <c r="S479" s="203" t="s">
        <v>3483</v>
      </c>
      <c r="T479" s="203"/>
      <c r="U479" s="198"/>
      <c r="V479" s="198"/>
      <c r="W479" s="198"/>
      <c r="X479" s="198"/>
      <c r="Y479" s="198"/>
      <c r="Z479" s="202" t="str">
        <f t="shared" si="0"/>
        <v>RLOM UnitaryEquipments</v>
      </c>
      <c r="AA479" s="172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</row>
    <row r="480" spans="1:40" ht="21.75" customHeight="1">
      <c r="A480" s="190">
        <v>3</v>
      </c>
      <c r="B480" s="190" t="s">
        <v>538</v>
      </c>
      <c r="C480" s="190">
        <v>36</v>
      </c>
      <c r="D480" s="191" t="s">
        <v>3431</v>
      </c>
      <c r="E480" s="192">
        <v>364</v>
      </c>
      <c r="F480" s="192" t="s">
        <v>3468</v>
      </c>
      <c r="G480" s="233"/>
      <c r="H480" s="222" t="str">
        <f>HYPERLINK("http://bsdd.buildingsmart.org/#concept/details/0NZ27tWOXCSg5te9Ii948G","0NZ27tWOXCSg5te9Ii948G")</f>
        <v>0NZ27tWOXCSg5te9Ii948G</v>
      </c>
      <c r="I480" s="120" t="s">
        <v>5083</v>
      </c>
      <c r="J480" s="195" t="s">
        <v>4262</v>
      </c>
      <c r="K480" s="191" t="s">
        <v>3629</v>
      </c>
      <c r="L480" s="249" t="s">
        <v>4263</v>
      </c>
      <c r="M480" s="198"/>
      <c r="N480" s="203" t="s">
        <v>3631</v>
      </c>
      <c r="O480" s="203" t="s">
        <v>3632</v>
      </c>
      <c r="P480" s="191"/>
      <c r="Q480" s="203" t="s">
        <v>3472</v>
      </c>
      <c r="R480" s="203" t="s">
        <v>3473</v>
      </c>
      <c r="S480" s="203" t="s">
        <v>3633</v>
      </c>
      <c r="T480" s="203"/>
      <c r="U480" s="198"/>
      <c r="V480" s="198"/>
      <c r="W480" s="198"/>
      <c r="X480" s="198"/>
      <c r="Y480" s="198"/>
      <c r="Z480" s="202" t="str">
        <f t="shared" si="0"/>
        <v>RLOM AirTerminalBoxs</v>
      </c>
      <c r="AA480" s="172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</row>
    <row r="481" spans="1:40" ht="21.75" customHeight="1">
      <c r="A481" s="190">
        <v>3</v>
      </c>
      <c r="B481" s="190" t="s">
        <v>538</v>
      </c>
      <c r="C481" s="190">
        <v>36</v>
      </c>
      <c r="D481" s="191" t="s">
        <v>3431</v>
      </c>
      <c r="E481" s="192">
        <v>364</v>
      </c>
      <c r="F481" s="192" t="s">
        <v>3468</v>
      </c>
      <c r="G481" s="233"/>
      <c r="H481" s="222" t="str">
        <f>HYPERLINK("http://bsdd.buildingsmart.org/#concept/details/1QZJUVPtT8jhaShpEu_T4h","1QZJUVPtT8jhaShpEu_T4h")</f>
        <v>1QZJUVPtT8jhaShpEu_T4h</v>
      </c>
      <c r="I481" s="120" t="s">
        <v>5084</v>
      </c>
      <c r="J481" s="195" t="s">
        <v>4264</v>
      </c>
      <c r="K481" s="191" t="s">
        <v>3635</v>
      </c>
      <c r="L481" s="249" t="str">
        <f ca="1">IFERROR(__xludf.DUMMYFUNCTION(GOOGLETRANSLATE(J481,"no","en")),"vav damper pneumatic")</f>
        <v>vav damper pneumatic</v>
      </c>
      <c r="M481" s="198"/>
      <c r="N481" s="203" t="s">
        <v>3631</v>
      </c>
      <c r="O481" s="203" t="s">
        <v>3632</v>
      </c>
      <c r="P481" s="191"/>
      <c r="Q481" s="203" t="s">
        <v>3472</v>
      </c>
      <c r="R481" s="203" t="s">
        <v>3473</v>
      </c>
      <c r="S481" s="203" t="s">
        <v>3633</v>
      </c>
      <c r="T481" s="203"/>
      <c r="U481" s="198"/>
      <c r="V481" s="198"/>
      <c r="W481" s="198"/>
      <c r="X481" s="198"/>
      <c r="Y481" s="198"/>
      <c r="Z481" s="202" t="str">
        <f t="shared" si="0"/>
        <v>RLOM AirTerminalBoxs</v>
      </c>
      <c r="AA481" s="172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</row>
    <row r="482" spans="1:40" ht="21.75" customHeight="1">
      <c r="A482" s="190">
        <v>3</v>
      </c>
      <c r="B482" s="190" t="s">
        <v>538</v>
      </c>
      <c r="C482" s="190">
        <v>36</v>
      </c>
      <c r="D482" s="191" t="s">
        <v>3431</v>
      </c>
      <c r="E482" s="192">
        <v>365</v>
      </c>
      <c r="F482" s="192" t="s">
        <v>3637</v>
      </c>
      <c r="G482" s="233"/>
      <c r="H482" s="222" t="str">
        <f>HYPERLINK("http://bsdd.buildingsmart.org/#concept/details/07YvI_sK1ACwk4XMZDQ6Fc","07YvI_sK1ACwk4XMZDQ6Fc")</f>
        <v>07YvI_sK1ACwk4XMZDQ6Fc</v>
      </c>
      <c r="I482" s="120" t="s">
        <v>3638</v>
      </c>
      <c r="J482" s="195" t="s">
        <v>4265</v>
      </c>
      <c r="K482" s="191"/>
      <c r="L482" s="249" t="s">
        <v>4266</v>
      </c>
      <c r="M482" s="198"/>
      <c r="N482" s="203" t="s">
        <v>3640</v>
      </c>
      <c r="O482" s="203" t="s">
        <v>3638</v>
      </c>
      <c r="P482" s="191"/>
      <c r="Q482" s="203" t="s">
        <v>3385</v>
      </c>
      <c r="R482" s="203"/>
      <c r="S482" s="203"/>
      <c r="T482" s="203"/>
      <c r="U482" s="198"/>
      <c r="V482" s="198"/>
      <c r="W482" s="198"/>
      <c r="X482" s="198"/>
      <c r="Y482" s="198"/>
      <c r="Z482" s="202" t="str">
        <f t="shared" si="0"/>
        <v>RLOM Chillers</v>
      </c>
      <c r="AA482" s="172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</row>
    <row r="483" spans="1:40" ht="21.75" customHeight="1">
      <c r="A483" s="190">
        <v>3</v>
      </c>
      <c r="B483" s="190" t="s">
        <v>538</v>
      </c>
      <c r="C483" s="190">
        <v>36</v>
      </c>
      <c r="D483" s="191" t="s">
        <v>3431</v>
      </c>
      <c r="E483" s="192">
        <v>365</v>
      </c>
      <c r="F483" s="192" t="s">
        <v>3637</v>
      </c>
      <c r="G483" s="233"/>
      <c r="H483" s="222" t="str">
        <f>HYPERLINK("http://bsdd.buildingsmart.org/#concept/details/3vHXJAoT0Hsm00051Mm008","3vHXJAoT0Hsm00051Mm008")</f>
        <v>3vHXJAoT0Hsm00051Mm008</v>
      </c>
      <c r="I483" s="120" t="s">
        <v>3641</v>
      </c>
      <c r="J483" s="195" t="s">
        <v>4267</v>
      </c>
      <c r="K483" s="191" t="s">
        <v>3642</v>
      </c>
      <c r="L483" s="249" t="s">
        <v>4268</v>
      </c>
      <c r="M483" s="198"/>
      <c r="N483" s="203" t="s">
        <v>1872</v>
      </c>
      <c r="O483" s="203" t="s">
        <v>3644</v>
      </c>
      <c r="P483" s="191"/>
      <c r="Q483" s="203" t="s">
        <v>1877</v>
      </c>
      <c r="R483" s="203" t="s">
        <v>1878</v>
      </c>
      <c r="S483" s="203" t="s">
        <v>3645</v>
      </c>
      <c r="T483" s="203" t="s">
        <v>4269</v>
      </c>
      <c r="U483" s="198"/>
      <c r="V483" s="198"/>
      <c r="W483" s="198"/>
      <c r="X483" s="198"/>
      <c r="Y483" s="198"/>
      <c r="Z483" s="202" t="str">
        <f t="shared" si="0"/>
        <v>RLOM Boilers</v>
      </c>
      <c r="AA483" s="172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</row>
    <row r="484" spans="1:40" ht="21.75" customHeight="1">
      <c r="A484" s="190">
        <v>3</v>
      </c>
      <c r="B484" s="190" t="s">
        <v>538</v>
      </c>
      <c r="C484" s="190">
        <v>36</v>
      </c>
      <c r="D484" s="191" t="s">
        <v>3431</v>
      </c>
      <c r="E484" s="192">
        <v>365</v>
      </c>
      <c r="F484" s="192" t="s">
        <v>3637</v>
      </c>
      <c r="G484" s="233"/>
      <c r="H484" s="222" t="str">
        <f>HYPERLINK("http://bsdd.buildingsmart.org/#concept/details/30n2FORm598PIkwhTZrWv3","30n2FORm598PIkwhTZrWv3")</f>
        <v>30n2FORm598PIkwhTZrWv3</v>
      </c>
      <c r="I484" s="120" t="s">
        <v>3647</v>
      </c>
      <c r="J484" s="195" t="s">
        <v>4270</v>
      </c>
      <c r="K484" s="191" t="s">
        <v>3648</v>
      </c>
      <c r="L484" s="249" t="str">
        <f t="shared" ref="L484:L488" ca="1" si="22">IFERROR(__xludf.DUMMYFUNCTION(GOOGLETRANSLATE(J484,"no","en")),"after cooling coil")</f>
        <v>after cooling coil</v>
      </c>
      <c r="M484" s="198"/>
      <c r="N484" s="203" t="s">
        <v>3649</v>
      </c>
      <c r="O484" s="203" t="s">
        <v>3650</v>
      </c>
      <c r="P484" s="191" t="s">
        <v>3651</v>
      </c>
      <c r="Q484" s="203" t="s">
        <v>3652</v>
      </c>
      <c r="R484" s="203" t="s">
        <v>3653</v>
      </c>
      <c r="S484" s="203" t="s">
        <v>3654</v>
      </c>
      <c r="T484" s="203"/>
      <c r="U484" s="198"/>
      <c r="V484" s="198"/>
      <c r="W484" s="198"/>
      <c r="X484" s="198"/>
      <c r="Y484" s="198"/>
      <c r="Z484" s="202" t="str">
        <f t="shared" si="0"/>
        <v>RLOM Coils</v>
      </c>
      <c r="AA484" s="172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</row>
    <row r="485" spans="1:40" ht="21.75" customHeight="1">
      <c r="A485" s="190">
        <v>3</v>
      </c>
      <c r="B485" s="190" t="s">
        <v>538</v>
      </c>
      <c r="C485" s="190">
        <v>36</v>
      </c>
      <c r="D485" s="191" t="s">
        <v>3431</v>
      </c>
      <c r="E485" s="192">
        <v>365</v>
      </c>
      <c r="F485" s="192" t="s">
        <v>3637</v>
      </c>
      <c r="G485" s="233"/>
      <c r="H485" s="222" t="str">
        <f>HYPERLINK("http://bsdd.buildingsmart.org/#concept/details/2shvTtgp91FA$bnwGx5b_A","2shvTtgp91FA$bnwGx5b_A")</f>
        <v>2shvTtgp91FA$bnwGx5b_A</v>
      </c>
      <c r="I485" s="120" t="s">
        <v>3655</v>
      </c>
      <c r="J485" s="195" t="s">
        <v>4271</v>
      </c>
      <c r="K485" s="191" t="s">
        <v>3656</v>
      </c>
      <c r="L485" s="249" t="str">
        <f t="shared" ca="1" si="22"/>
        <v>after cooling coil</v>
      </c>
      <c r="M485" s="198"/>
      <c r="N485" s="203" t="s">
        <v>3000</v>
      </c>
      <c r="O485" s="203" t="s">
        <v>3657</v>
      </c>
      <c r="P485" s="191" t="s">
        <v>3658</v>
      </c>
      <c r="Q485" s="203" t="s">
        <v>3652</v>
      </c>
      <c r="R485" s="203" t="s">
        <v>3653</v>
      </c>
      <c r="S485" s="203" t="s">
        <v>3659</v>
      </c>
      <c r="T485" s="203"/>
      <c r="U485" s="198"/>
      <c r="V485" s="198"/>
      <c r="W485" s="198"/>
      <c r="X485" s="198"/>
      <c r="Y485" s="198"/>
      <c r="Z485" s="202" t="str">
        <f t="shared" si="0"/>
        <v>RLOM Coils</v>
      </c>
      <c r="AA485" s="172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</row>
    <row r="486" spans="1:40" ht="24" customHeight="1">
      <c r="A486" s="190">
        <v>3</v>
      </c>
      <c r="B486" s="190" t="s">
        <v>538</v>
      </c>
      <c r="C486" s="190">
        <v>36</v>
      </c>
      <c r="D486" s="191" t="s">
        <v>3431</v>
      </c>
      <c r="E486" s="192">
        <v>365</v>
      </c>
      <c r="F486" s="192" t="s">
        <v>3637</v>
      </c>
      <c r="G486" s="233"/>
      <c r="H486" s="222" t="str">
        <f>HYPERLINK("http://bsdd.buildingsmart.org/#concept/details/1xh8KqmM12sO59pwtj30yL","1xh8KqmM12sO59pwtj30yL")</f>
        <v>1xh8KqmM12sO59pwtj30yL</v>
      </c>
      <c r="I486" s="120" t="s">
        <v>5085</v>
      </c>
      <c r="J486" s="195" t="s">
        <v>4272</v>
      </c>
      <c r="K486" s="191" t="s">
        <v>3662</v>
      </c>
      <c r="L486" s="249" t="str">
        <f t="shared" ca="1" si="22"/>
        <v>after cooling coil</v>
      </c>
      <c r="M486" s="198"/>
      <c r="N486" s="203" t="s">
        <v>3000</v>
      </c>
      <c r="O486" s="203" t="s">
        <v>3657</v>
      </c>
      <c r="P486" s="191" t="s">
        <v>3658</v>
      </c>
      <c r="Q486" s="203" t="s">
        <v>3652</v>
      </c>
      <c r="R486" s="203" t="s">
        <v>3653</v>
      </c>
      <c r="S486" s="203" t="s">
        <v>3663</v>
      </c>
      <c r="T486" s="203"/>
      <c r="U486" s="198"/>
      <c r="V486" s="198"/>
      <c r="W486" s="198"/>
      <c r="X486" s="198"/>
      <c r="Y486" s="198"/>
      <c r="Z486" s="202" t="str">
        <f t="shared" si="0"/>
        <v>RLOM Coils</v>
      </c>
      <c r="AA486" s="172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</row>
    <row r="487" spans="1:40" ht="21.75" customHeight="1">
      <c r="A487" s="190">
        <v>3</v>
      </c>
      <c r="B487" s="190" t="s">
        <v>538</v>
      </c>
      <c r="C487" s="190">
        <v>36</v>
      </c>
      <c r="D487" s="191" t="s">
        <v>3431</v>
      </c>
      <c r="E487" s="192">
        <v>365</v>
      </c>
      <c r="F487" s="192" t="s">
        <v>3637</v>
      </c>
      <c r="G487" s="233"/>
      <c r="H487" s="222" t="str">
        <f>HYPERLINK("http://bsdd.buildingsmart.org/#concept/details/3L5jiKetvEEu60jp$aNQaj","3L5jiKetvEEu60jp$aNQaj")</f>
        <v>3L5jiKetvEEu60jp$aNQaj</v>
      </c>
      <c r="I487" s="120" t="s">
        <v>3664</v>
      </c>
      <c r="J487" s="195" t="s">
        <v>4273</v>
      </c>
      <c r="K487" s="191"/>
      <c r="L487" s="249" t="str">
        <f t="shared" ca="1" si="22"/>
        <v>after cooling coil</v>
      </c>
      <c r="M487" s="198"/>
      <c r="N487" s="203" t="s">
        <v>3666</v>
      </c>
      <c r="O487" s="203" t="s">
        <v>3667</v>
      </c>
      <c r="P487" s="191" t="s">
        <v>3668</v>
      </c>
      <c r="Q487" s="203" t="s">
        <v>3481</v>
      </c>
      <c r="R487" s="203" t="s">
        <v>3482</v>
      </c>
      <c r="S487" s="203" t="s">
        <v>3483</v>
      </c>
      <c r="T487" s="203"/>
      <c r="U487" s="198"/>
      <c r="V487" s="198"/>
      <c r="W487" s="198"/>
      <c r="X487" s="198"/>
      <c r="Y487" s="198"/>
      <c r="Z487" s="202" t="str">
        <f t="shared" si="0"/>
        <v>RLOM UnitaryEquipments</v>
      </c>
      <c r="AA487" s="172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</row>
    <row r="488" spans="1:40" ht="21.75" customHeight="1">
      <c r="A488" s="190">
        <v>3</v>
      </c>
      <c r="B488" s="190" t="s">
        <v>538</v>
      </c>
      <c r="C488" s="190">
        <v>36</v>
      </c>
      <c r="D488" s="191" t="s">
        <v>3431</v>
      </c>
      <c r="E488" s="192">
        <v>365</v>
      </c>
      <c r="F488" s="192" t="s">
        <v>3637</v>
      </c>
      <c r="G488" s="193"/>
      <c r="H488" s="208" t="str">
        <f>HYPERLINK("http://bsdd.buildingsmart.org/#concept/details/3jvxBR0tzB28QVtF4gozx1","3jvxBR0tzB28QVtF4gozx1")</f>
        <v>3jvxBR0tzB28QVtF4gozx1</v>
      </c>
      <c r="I488" s="120" t="s">
        <v>3670</v>
      </c>
      <c r="J488" s="195" t="s">
        <v>4274</v>
      </c>
      <c r="K488" s="206"/>
      <c r="L488" s="249" t="str">
        <f t="shared" ca="1" si="22"/>
        <v>after cooling coil</v>
      </c>
      <c r="M488" s="198"/>
      <c r="N488" s="203" t="s">
        <v>3671</v>
      </c>
      <c r="O488" s="203" t="s">
        <v>3672</v>
      </c>
      <c r="P488" s="191" t="s">
        <v>3670</v>
      </c>
      <c r="Q488" s="203" t="s">
        <v>4275</v>
      </c>
      <c r="R488" s="203" t="s">
        <v>2499</v>
      </c>
      <c r="S488" s="203" t="s">
        <v>3673</v>
      </c>
      <c r="T488" s="203" t="s">
        <v>3674</v>
      </c>
      <c r="U488" s="198"/>
      <c r="V488" s="198"/>
      <c r="W488" s="198"/>
      <c r="X488" s="198"/>
      <c r="Y488" s="198"/>
      <c r="Z488" s="202" t="str">
        <f t="shared" si="0"/>
        <v>RLOM Filters</v>
      </c>
      <c r="AA488" s="172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</row>
    <row r="489" spans="1:40" ht="21.75" customHeight="1">
      <c r="A489" s="190">
        <v>3</v>
      </c>
      <c r="B489" s="190" t="s">
        <v>538</v>
      </c>
      <c r="C489" s="190">
        <v>36</v>
      </c>
      <c r="D489" s="191" t="s">
        <v>3431</v>
      </c>
      <c r="E489" s="192">
        <v>365</v>
      </c>
      <c r="F489" s="192" t="s">
        <v>3637</v>
      </c>
      <c r="G489" s="233"/>
      <c r="H489" s="222" t="str">
        <f>HYPERLINK("http://bsdd.buildingsmart.org/#concept/details/3vHTQQoT0Hsm00051Mm008","3vHTQQoT0Hsm00051Mm008")</f>
        <v>3vHTQQoT0Hsm00051Mm008</v>
      </c>
      <c r="I489" s="120" t="s">
        <v>3675</v>
      </c>
      <c r="J489" s="195" t="s">
        <v>4276</v>
      </c>
      <c r="K489" s="191" t="s">
        <v>3676</v>
      </c>
      <c r="L489" s="249" t="s">
        <v>4277</v>
      </c>
      <c r="M489" s="198"/>
      <c r="N489" s="203" t="s">
        <v>3678</v>
      </c>
      <c r="O489" s="203" t="s">
        <v>3679</v>
      </c>
      <c r="P489" s="191"/>
      <c r="Q489" s="203" t="s">
        <v>3481</v>
      </c>
      <c r="R489" s="203" t="s">
        <v>3482</v>
      </c>
      <c r="S489" s="203" t="s">
        <v>3483</v>
      </c>
      <c r="T489" s="203"/>
      <c r="U489" s="198"/>
      <c r="V489" s="198"/>
      <c r="W489" s="198"/>
      <c r="X489" s="198"/>
      <c r="Y489" s="198"/>
      <c r="Z489" s="202" t="str">
        <f t="shared" si="0"/>
        <v>RLOM UnitaryEquipments</v>
      </c>
      <c r="AA489" s="172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</row>
    <row r="490" spans="1:40" ht="24" customHeight="1">
      <c r="A490" s="190">
        <v>3</v>
      </c>
      <c r="B490" s="190" t="s">
        <v>538</v>
      </c>
      <c r="C490" s="190">
        <v>36</v>
      </c>
      <c r="D490" s="191" t="s">
        <v>3431</v>
      </c>
      <c r="E490" s="192">
        <v>365</v>
      </c>
      <c r="F490" s="192" t="s">
        <v>3637</v>
      </c>
      <c r="G490" s="233"/>
      <c r="H490" s="222" t="str">
        <f>HYPERLINK("http://bsdd.buildingsmart.org/#concept/details/1JAyVBxJv0lfhevO4edFrH","1JAyVBxJv0lfhevO4edFrH")</f>
        <v>1JAyVBxJv0lfhevO4edFrH</v>
      </c>
      <c r="I490" s="120" t="s">
        <v>5086</v>
      </c>
      <c r="J490" s="195" t="s">
        <v>4278</v>
      </c>
      <c r="K490" s="191" t="s">
        <v>3682</v>
      </c>
      <c r="L490" s="249" t="s">
        <v>4277</v>
      </c>
      <c r="M490" s="198"/>
      <c r="N490" s="203" t="s">
        <v>3678</v>
      </c>
      <c r="O490" s="203" t="s">
        <v>3679</v>
      </c>
      <c r="P490" s="191"/>
      <c r="Q490" s="203" t="s">
        <v>3481</v>
      </c>
      <c r="R490" s="203" t="s">
        <v>3482</v>
      </c>
      <c r="S490" s="203" t="s">
        <v>3683</v>
      </c>
      <c r="T490" s="203"/>
      <c r="U490" s="198"/>
      <c r="V490" s="198"/>
      <c r="W490" s="198"/>
      <c r="X490" s="198"/>
      <c r="Y490" s="198"/>
      <c r="Z490" s="202" t="str">
        <f t="shared" si="0"/>
        <v>RLOM UnitaryEquipments</v>
      </c>
      <c r="AA490" s="172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</row>
    <row r="491" spans="1:40" ht="21.75" customHeight="1">
      <c r="A491" s="190">
        <v>3</v>
      </c>
      <c r="B491" s="190" t="s">
        <v>538</v>
      </c>
      <c r="C491" s="190">
        <v>36</v>
      </c>
      <c r="D491" s="191" t="s">
        <v>3431</v>
      </c>
      <c r="E491" s="192">
        <v>365</v>
      </c>
      <c r="F491" s="192" t="s">
        <v>3637</v>
      </c>
      <c r="G491" s="233"/>
      <c r="H491" s="222" t="str">
        <f>HYPERLINK("http://bsdd.buildingsmart.org/#concept/details/298MYAWJOHu000025QrE$V","298MYAWJOHu000025QrE$V")</f>
        <v>298MYAWJOHu000025QrE$V</v>
      </c>
      <c r="I491" s="120" t="s">
        <v>3685</v>
      </c>
      <c r="J491" s="195" t="s">
        <v>4279</v>
      </c>
      <c r="K491" s="191" t="s">
        <v>3686</v>
      </c>
      <c r="L491" s="249" t="s">
        <v>4280</v>
      </c>
      <c r="M491" s="198"/>
      <c r="N491" s="203" t="s">
        <v>3688</v>
      </c>
      <c r="O491" s="203" t="s">
        <v>3689</v>
      </c>
      <c r="P491" s="191"/>
      <c r="Q491" s="203" t="s">
        <v>3690</v>
      </c>
      <c r="R491" s="203" t="s">
        <v>3691</v>
      </c>
      <c r="S491" s="203" t="s">
        <v>3692</v>
      </c>
      <c r="T491" s="203"/>
      <c r="U491" s="198"/>
      <c r="V491" s="198"/>
      <c r="W491" s="198"/>
      <c r="X491" s="198"/>
      <c r="Y491" s="198"/>
      <c r="Z491" s="202" t="str">
        <f t="shared" si="0"/>
        <v>RLOM Humidifiers</v>
      </c>
      <c r="AA491" s="172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</row>
    <row r="492" spans="1:40" ht="21.75" customHeight="1">
      <c r="A492" s="190">
        <v>3</v>
      </c>
      <c r="B492" s="190" t="s">
        <v>538</v>
      </c>
      <c r="C492" s="190">
        <v>36</v>
      </c>
      <c r="D492" s="191" t="s">
        <v>3431</v>
      </c>
      <c r="E492" s="192">
        <v>365</v>
      </c>
      <c r="F492" s="192" t="s">
        <v>3637</v>
      </c>
      <c r="G492" s="233"/>
      <c r="H492" s="222" t="str">
        <f>HYPERLINK("http://bsdd.buildingsmart.org/#concept/details/2ha4cuVrn2CO6DtVG5m_2l","2ha4cuVrn2CO6DtVG5m_2l")</f>
        <v>2ha4cuVrn2CO6DtVG5m_2l</v>
      </c>
      <c r="I492" s="120" t="s">
        <v>3693</v>
      </c>
      <c r="J492" s="195" t="s">
        <v>4281</v>
      </c>
      <c r="K492" s="191"/>
      <c r="L492" s="249" t="s">
        <v>4282</v>
      </c>
      <c r="M492" s="198"/>
      <c r="N492" s="203" t="s">
        <v>3695</v>
      </c>
      <c r="O492" s="203" t="s">
        <v>3696</v>
      </c>
      <c r="P492" s="191"/>
      <c r="Q492" s="203" t="s">
        <v>2497</v>
      </c>
      <c r="R492" s="203" t="s">
        <v>2499</v>
      </c>
      <c r="S492" s="203" t="s">
        <v>3673</v>
      </c>
      <c r="T492" s="203"/>
      <c r="U492" s="198"/>
      <c r="V492" s="198"/>
      <c r="W492" s="198"/>
      <c r="X492" s="198"/>
      <c r="Y492" s="198"/>
      <c r="Z492" s="202" t="str">
        <f t="shared" si="0"/>
        <v>RLOM Filters</v>
      </c>
      <c r="AA492" s="172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</row>
    <row r="493" spans="1:40" ht="24" customHeight="1">
      <c r="A493" s="190">
        <v>3</v>
      </c>
      <c r="B493" s="190" t="s">
        <v>538</v>
      </c>
      <c r="C493" s="190">
        <v>36</v>
      </c>
      <c r="D493" s="191" t="s">
        <v>3431</v>
      </c>
      <c r="E493" s="192">
        <v>365</v>
      </c>
      <c r="F493" s="192" t="s">
        <v>3637</v>
      </c>
      <c r="G493" s="233"/>
      <c r="H493" s="222" t="str">
        <f>HYPERLINK("http://bsdd.buildingsmart.org/#concept/details/1V5TFGhCj6rQINnseLyWxp","1V5TFGhCj6rQINnseLyWxp")</f>
        <v>1V5TFGhCj6rQINnseLyWxp</v>
      </c>
      <c r="I493" s="120" t="s">
        <v>5087</v>
      </c>
      <c r="J493" s="195" t="s">
        <v>4283</v>
      </c>
      <c r="K493" s="191" t="s">
        <v>3699</v>
      </c>
      <c r="L493" s="249" t="str">
        <f t="shared" ref="L493:L504" ca="1" si="23">IFERROR(__xludf.DUMMYFUNCTION(GOOGLETRANSLATE(J493,"no","en")),"heat recovery air to air cross")</f>
        <v>heat recovery air to air cross</v>
      </c>
      <c r="M493" s="198"/>
      <c r="N493" s="203" t="s">
        <v>3700</v>
      </c>
      <c r="O493" s="203" t="s">
        <v>3701</v>
      </c>
      <c r="P493" s="191" t="s">
        <v>3702</v>
      </c>
      <c r="Q493" s="203" t="s">
        <v>3003</v>
      </c>
      <c r="R493" s="203" t="s">
        <v>3703</v>
      </c>
      <c r="S493" s="203" t="s">
        <v>3704</v>
      </c>
      <c r="T493" s="203"/>
      <c r="U493" s="198"/>
      <c r="V493" s="198"/>
      <c r="W493" s="198"/>
      <c r="X493" s="198"/>
      <c r="Y493" s="198"/>
      <c r="Z493" s="202" t="str">
        <f t="shared" si="0"/>
        <v>RLOM AirToAirHeatRecoverys</v>
      </c>
      <c r="AA493" s="172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</row>
    <row r="494" spans="1:40" ht="24" customHeight="1">
      <c r="A494" s="190">
        <v>3</v>
      </c>
      <c r="B494" s="190" t="s">
        <v>538</v>
      </c>
      <c r="C494" s="190">
        <v>36</v>
      </c>
      <c r="D494" s="191" t="s">
        <v>3431</v>
      </c>
      <c r="E494" s="192">
        <v>365</v>
      </c>
      <c r="F494" s="192" t="s">
        <v>3637</v>
      </c>
      <c r="G494" s="233"/>
      <c r="H494" s="222" t="str">
        <f>HYPERLINK("http://bsdd.buildingsmart.org/#concept/details/3j1Gx2Qdf3vOfwbLAdp28o","3j1Gx2Qdf3vOfwbLAdp28o")</f>
        <v>3j1Gx2Qdf3vOfwbLAdp28o</v>
      </c>
      <c r="I494" s="120" t="s">
        <v>5088</v>
      </c>
      <c r="J494" s="195" t="s">
        <v>4284</v>
      </c>
      <c r="K494" s="191" t="s">
        <v>3707</v>
      </c>
      <c r="L494" s="249" t="str">
        <f t="shared" ca="1" si="23"/>
        <v>heat recovery air to air cross</v>
      </c>
      <c r="M494" s="198"/>
      <c r="N494" s="203" t="s">
        <v>3700</v>
      </c>
      <c r="O494" s="203" t="s">
        <v>3701</v>
      </c>
      <c r="P494" s="191" t="s">
        <v>3707</v>
      </c>
      <c r="Q494" s="203" t="s">
        <v>3003</v>
      </c>
      <c r="R494" s="203" t="s">
        <v>3703</v>
      </c>
      <c r="S494" s="203" t="s">
        <v>3708</v>
      </c>
      <c r="T494" s="203"/>
      <c r="U494" s="198"/>
      <c r="V494" s="198"/>
      <c r="W494" s="198"/>
      <c r="X494" s="198"/>
      <c r="Y494" s="198"/>
      <c r="Z494" s="202" t="str">
        <f t="shared" si="0"/>
        <v>RLOM AirToAirHeatRecoverys</v>
      </c>
      <c r="AA494" s="172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</row>
    <row r="495" spans="1:40" ht="24" customHeight="1">
      <c r="A495" s="190">
        <v>3</v>
      </c>
      <c r="B495" s="190" t="s">
        <v>538</v>
      </c>
      <c r="C495" s="190">
        <v>36</v>
      </c>
      <c r="D495" s="191" t="s">
        <v>3431</v>
      </c>
      <c r="E495" s="192">
        <v>365</v>
      </c>
      <c r="F495" s="192" t="s">
        <v>3637</v>
      </c>
      <c r="G495" s="233"/>
      <c r="H495" s="222" t="str">
        <f>HYPERLINK("http://bsdd.buildingsmart.org/#concept/details/0P37Fe6GnD$wfemPNq$AMd","0P37Fe6GnD$wfemPNq$AMd")</f>
        <v>0P37Fe6GnD$wfemPNq$AMd</v>
      </c>
      <c r="I495" s="120" t="s">
        <v>5089</v>
      </c>
      <c r="J495" s="195" t="s">
        <v>4285</v>
      </c>
      <c r="K495" s="191" t="s">
        <v>3710</v>
      </c>
      <c r="L495" s="249" t="str">
        <f t="shared" ca="1" si="23"/>
        <v>heat recovery air to air cross</v>
      </c>
      <c r="M495" s="198"/>
      <c r="N495" s="203" t="s">
        <v>3700</v>
      </c>
      <c r="O495" s="203" t="s">
        <v>3701</v>
      </c>
      <c r="P495" s="191" t="s">
        <v>3711</v>
      </c>
      <c r="Q495" s="203" t="s">
        <v>3003</v>
      </c>
      <c r="R495" s="203" t="s">
        <v>3703</v>
      </c>
      <c r="S495" s="203" t="s">
        <v>3712</v>
      </c>
      <c r="T495" s="203"/>
      <c r="U495" s="198"/>
      <c r="V495" s="198"/>
      <c r="W495" s="198"/>
      <c r="X495" s="198"/>
      <c r="Y495" s="198"/>
      <c r="Z495" s="202" t="str">
        <f t="shared" si="0"/>
        <v>RLOM AirToAirHeatRecoverys</v>
      </c>
      <c r="AA495" s="172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</row>
    <row r="496" spans="1:40" ht="24" customHeight="1">
      <c r="A496" s="190">
        <v>3</v>
      </c>
      <c r="B496" s="190" t="s">
        <v>538</v>
      </c>
      <c r="C496" s="190">
        <v>36</v>
      </c>
      <c r="D496" s="191" t="s">
        <v>3431</v>
      </c>
      <c r="E496" s="192">
        <v>365</v>
      </c>
      <c r="F496" s="192" t="s">
        <v>3637</v>
      </c>
      <c r="G496" s="233"/>
      <c r="H496" s="222" t="str">
        <f>HYPERLINK("http://bsdd.buildingsmart.org/#concept/details/0AifUTzALDzBt4nMCqKiVt","0AifUTzALDzBt4nMCqKiVt")</f>
        <v>0AifUTzALDzBt4nMCqKiVt</v>
      </c>
      <c r="I496" s="120" t="s">
        <v>5090</v>
      </c>
      <c r="J496" s="195" t="s">
        <v>4286</v>
      </c>
      <c r="K496" s="191" t="s">
        <v>2537</v>
      </c>
      <c r="L496" s="249" t="str">
        <f t="shared" ca="1" si="23"/>
        <v>heat recovery air to air cross</v>
      </c>
      <c r="M496" s="198"/>
      <c r="N496" s="203" t="s">
        <v>3000</v>
      </c>
      <c r="O496" s="203" t="s">
        <v>3657</v>
      </c>
      <c r="P496" s="191" t="s">
        <v>3658</v>
      </c>
      <c r="Q496" s="203" t="s">
        <v>3715</v>
      </c>
      <c r="R496" s="203" t="s">
        <v>3716</v>
      </c>
      <c r="S496" s="203" t="s">
        <v>3717</v>
      </c>
      <c r="T496" s="203"/>
      <c r="U496" s="198"/>
      <c r="V496" s="198"/>
      <c r="W496" s="198"/>
      <c r="X496" s="198"/>
      <c r="Y496" s="198"/>
      <c r="Z496" s="202" t="str">
        <f t="shared" si="0"/>
        <v>RLOM HeatExchangers</v>
      </c>
      <c r="AA496" s="172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</row>
    <row r="497" spans="1:40" ht="24" customHeight="1">
      <c r="A497" s="190">
        <v>3</v>
      </c>
      <c r="B497" s="190" t="s">
        <v>538</v>
      </c>
      <c r="C497" s="190">
        <v>36</v>
      </c>
      <c r="D497" s="191" t="s">
        <v>3431</v>
      </c>
      <c r="E497" s="192">
        <v>365</v>
      </c>
      <c r="F497" s="192" t="s">
        <v>3637</v>
      </c>
      <c r="G497" s="233"/>
      <c r="H497" s="222" t="str">
        <f>HYPERLINK("http://bsdd.buildingsmart.org/#concept/details/3D3KXb6bPEZ9WuSIA3CG0G","3D3KXb6bPEZ9WuSIA3CG0G")</f>
        <v>3D3KXb6bPEZ9WuSIA3CG0G</v>
      </c>
      <c r="I497" s="120" t="s">
        <v>5091</v>
      </c>
      <c r="J497" s="195" t="s">
        <v>4287</v>
      </c>
      <c r="K497" s="191" t="s">
        <v>3719</v>
      </c>
      <c r="L497" s="249" t="str">
        <f t="shared" ca="1" si="23"/>
        <v>heat recovery air to air cross</v>
      </c>
      <c r="M497" s="198"/>
      <c r="N497" s="203" t="s">
        <v>3000</v>
      </c>
      <c r="O497" s="203" t="s">
        <v>3657</v>
      </c>
      <c r="P497" s="191" t="s">
        <v>3658</v>
      </c>
      <c r="Q497" s="203" t="s">
        <v>3715</v>
      </c>
      <c r="R497" s="203" t="s">
        <v>3716</v>
      </c>
      <c r="S497" s="203" t="s">
        <v>3720</v>
      </c>
      <c r="T497" s="203"/>
      <c r="U497" s="198"/>
      <c r="V497" s="198"/>
      <c r="W497" s="198"/>
      <c r="X497" s="198"/>
      <c r="Y497" s="198"/>
      <c r="Z497" s="202" t="str">
        <f t="shared" si="0"/>
        <v>RLOM HeatExchangers</v>
      </c>
      <c r="AA497" s="172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</row>
    <row r="498" spans="1:40" ht="21.75" customHeight="1">
      <c r="A498" s="190">
        <v>3</v>
      </c>
      <c r="B498" s="190" t="s">
        <v>538</v>
      </c>
      <c r="C498" s="190">
        <v>36</v>
      </c>
      <c r="D498" s="191" t="s">
        <v>3431</v>
      </c>
      <c r="E498" s="192">
        <v>365</v>
      </c>
      <c r="F498" s="192" t="s">
        <v>3637</v>
      </c>
      <c r="G498" s="233"/>
      <c r="H498" s="222" t="str">
        <f>HYPERLINK("http://bsdd.buildingsmart.org/#concept/details/3R5kruGt16VPOXX3LQSGXv","3R5kruGt16VPOXX3LQSGXv")</f>
        <v>3R5kruGt16VPOXX3LQSGXv</v>
      </c>
      <c r="I498" s="120" t="s">
        <v>5092</v>
      </c>
      <c r="J498" s="195" t="s">
        <v>4288</v>
      </c>
      <c r="K498" s="191"/>
      <c r="L498" s="249" t="str">
        <f t="shared" ca="1" si="23"/>
        <v>heat recovery air to air cross</v>
      </c>
      <c r="M498" s="198"/>
      <c r="N498" s="203" t="s">
        <v>3722</v>
      </c>
      <c r="O498" s="203" t="s">
        <v>3723</v>
      </c>
      <c r="P498" s="191" t="s">
        <v>3724</v>
      </c>
      <c r="Q498" s="203" t="s">
        <v>3593</v>
      </c>
      <c r="R498" s="203"/>
      <c r="S498" s="203"/>
      <c r="T498" s="203" t="s">
        <v>3725</v>
      </c>
      <c r="U498" s="198"/>
      <c r="V498" s="198"/>
      <c r="W498" s="198"/>
      <c r="X498" s="198"/>
      <c r="Y498" s="198"/>
      <c r="Z498" s="202" t="str">
        <f t="shared" si="0"/>
        <v>RLOM Fans</v>
      </c>
      <c r="AA498" s="172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</row>
    <row r="499" spans="1:40" ht="21.75" customHeight="1">
      <c r="A499" s="190">
        <v>3</v>
      </c>
      <c r="B499" s="190" t="s">
        <v>538</v>
      </c>
      <c r="C499" s="190">
        <v>36</v>
      </c>
      <c r="D499" s="191" t="s">
        <v>3431</v>
      </c>
      <c r="E499" s="192">
        <v>365</v>
      </c>
      <c r="F499" s="192" t="s">
        <v>3637</v>
      </c>
      <c r="G499" s="233"/>
      <c r="H499" s="222" t="str">
        <f>HYPERLINK("http://bsdd.buildingsmart.org/#concept/details/305yMH0TzDGfos8T3IyJTt","305yMH0TzDGfos8T3IyJTt")</f>
        <v>305yMH0TzDGfos8T3IyJTt</v>
      </c>
      <c r="I499" s="120" t="s">
        <v>3726</v>
      </c>
      <c r="J499" s="195" t="s">
        <v>4289</v>
      </c>
      <c r="K499" s="191" t="s">
        <v>3727</v>
      </c>
      <c r="L499" s="249" t="str">
        <f t="shared" ca="1" si="23"/>
        <v>heat recovery air to air cross</v>
      </c>
      <c r="M499" s="198"/>
      <c r="N499" s="203" t="s">
        <v>3722</v>
      </c>
      <c r="O499" s="203" t="s">
        <v>3723</v>
      </c>
      <c r="P499" s="191" t="s">
        <v>3726</v>
      </c>
      <c r="Q499" s="203" t="s">
        <v>3593</v>
      </c>
      <c r="R499" s="203"/>
      <c r="S499" s="203"/>
      <c r="T499" s="203" t="s">
        <v>3730</v>
      </c>
      <c r="U499" s="198"/>
      <c r="V499" s="198"/>
      <c r="W499" s="198"/>
      <c r="X499" s="198"/>
      <c r="Y499" s="198"/>
      <c r="Z499" s="202" t="str">
        <f t="shared" si="0"/>
        <v>RLOM Fans</v>
      </c>
      <c r="AA499" s="172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</row>
    <row r="500" spans="1:40" ht="21.75" customHeight="1">
      <c r="A500" s="190">
        <v>3</v>
      </c>
      <c r="B500" s="190" t="s">
        <v>538</v>
      </c>
      <c r="C500" s="190">
        <v>36</v>
      </c>
      <c r="D500" s="191" t="s">
        <v>3431</v>
      </c>
      <c r="E500" s="192">
        <v>365</v>
      </c>
      <c r="F500" s="192" t="s">
        <v>3637</v>
      </c>
      <c r="G500" s="233"/>
      <c r="H500" s="222" t="str">
        <f>HYPERLINK("http://bsdd.buildingsmart.org/#concept/details/2dN1rvkfz6vuh68eeI4tM6","2dN1rvkfz6vuh68eeI4tM6")</f>
        <v>2dN1rvkfz6vuh68eeI4tM6</v>
      </c>
      <c r="I500" s="120" t="s">
        <v>3731</v>
      </c>
      <c r="J500" s="195" t="s">
        <v>4290</v>
      </c>
      <c r="K500" s="191"/>
      <c r="L500" s="249" t="str">
        <f t="shared" ca="1" si="23"/>
        <v>heat recovery air to air cross</v>
      </c>
      <c r="M500" s="198"/>
      <c r="N500" s="203" t="s">
        <v>3722</v>
      </c>
      <c r="O500" s="203" t="s">
        <v>3723</v>
      </c>
      <c r="P500" s="191" t="s">
        <v>3731</v>
      </c>
      <c r="Q500" s="203" t="s">
        <v>3593</v>
      </c>
      <c r="R500" s="203"/>
      <c r="S500" s="203"/>
      <c r="T500" s="203" t="s">
        <v>3732</v>
      </c>
      <c r="U500" s="198"/>
      <c r="V500" s="198"/>
      <c r="W500" s="198"/>
      <c r="X500" s="198"/>
      <c r="Y500" s="198"/>
      <c r="Z500" s="202" t="str">
        <f t="shared" si="0"/>
        <v>RLOM Fans</v>
      </c>
      <c r="AA500" s="172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</row>
    <row r="501" spans="1:40" ht="21.75" customHeight="1">
      <c r="A501" s="190">
        <v>3</v>
      </c>
      <c r="B501" s="190" t="s">
        <v>538</v>
      </c>
      <c r="C501" s="190">
        <v>36</v>
      </c>
      <c r="D501" s="191" t="s">
        <v>3431</v>
      </c>
      <c r="E501" s="192">
        <v>365</v>
      </c>
      <c r="F501" s="192" t="s">
        <v>3637</v>
      </c>
      <c r="G501" s="233"/>
      <c r="H501" s="222" t="str">
        <f>HYPERLINK("http://bsdd.buildingsmart.org/#concept/details/1A9Lnhyj9C8fv9jmOz_FQ3","1A9Lnhyj9C8fv9jmOz_FQ3")</f>
        <v>1A9Lnhyj9C8fv9jmOz_FQ3</v>
      </c>
      <c r="I501" s="120" t="s">
        <v>3734</v>
      </c>
      <c r="J501" s="195" t="s">
        <v>4291</v>
      </c>
      <c r="K501" s="191" t="s">
        <v>3736</v>
      </c>
      <c r="L501" s="249" t="str">
        <f t="shared" ca="1" si="23"/>
        <v>heat recovery air to air cross</v>
      </c>
      <c r="M501" s="198"/>
      <c r="N501" s="203" t="s">
        <v>3590</v>
      </c>
      <c r="O501" s="203" t="s">
        <v>3591</v>
      </c>
      <c r="P501" s="191" t="s">
        <v>3734</v>
      </c>
      <c r="Q501" s="203" t="s">
        <v>3593</v>
      </c>
      <c r="R501" s="203"/>
      <c r="S501" s="203"/>
      <c r="T501" s="203"/>
      <c r="U501" s="198"/>
      <c r="V501" s="198"/>
      <c r="W501" s="198"/>
      <c r="X501" s="198"/>
      <c r="Y501" s="198"/>
      <c r="Z501" s="202" t="str">
        <f t="shared" si="0"/>
        <v>RLOM Fans</v>
      </c>
      <c r="AA501" s="172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</row>
    <row r="502" spans="1:40" ht="33" customHeight="1">
      <c r="A502" s="190">
        <v>3</v>
      </c>
      <c r="B502" s="190" t="s">
        <v>538</v>
      </c>
      <c r="C502" s="190">
        <v>36</v>
      </c>
      <c r="D502" s="191" t="s">
        <v>3431</v>
      </c>
      <c r="E502" s="192">
        <v>366</v>
      </c>
      <c r="F502" s="192" t="s">
        <v>3737</v>
      </c>
      <c r="G502" s="191"/>
      <c r="H502" s="222" t="str">
        <f>HYPERLINK("http://bsdd.buildingsmart.org/#concept/details/0VrmdrmHv0Hhe6PaVVBO_r","0VrmdrmHv0Hhe6PaVVBO_r")</f>
        <v>0VrmdrmHv0Hhe6PaVVBO_r</v>
      </c>
      <c r="I502" s="120" t="s">
        <v>5093</v>
      </c>
      <c r="J502" s="195" t="s">
        <v>4292</v>
      </c>
      <c r="K502" s="191" t="s">
        <v>3739</v>
      </c>
      <c r="L502" s="249" t="str">
        <f t="shared" ca="1" si="23"/>
        <v>heat recovery air to air cross</v>
      </c>
      <c r="M502" s="198"/>
      <c r="N502" s="203" t="s">
        <v>1186</v>
      </c>
      <c r="O502" s="203" t="s">
        <v>1032</v>
      </c>
      <c r="P502" s="191" t="s">
        <v>3741</v>
      </c>
      <c r="Q502" s="203" t="s">
        <v>1034</v>
      </c>
      <c r="R502" s="203" t="s">
        <v>1035</v>
      </c>
      <c r="S502" s="203" t="s">
        <v>1037</v>
      </c>
      <c r="T502" s="203"/>
      <c r="U502" s="198"/>
      <c r="V502" s="198"/>
      <c r="W502" s="198"/>
      <c r="X502" s="198"/>
      <c r="Y502" s="198"/>
      <c r="Z502" s="202" t="str">
        <f t="shared" si="0"/>
        <v>RLOM Coverings</v>
      </c>
      <c r="AA502" s="172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</row>
    <row r="503" spans="1:40" ht="33" customHeight="1">
      <c r="A503" s="190">
        <v>3</v>
      </c>
      <c r="B503" s="190" t="s">
        <v>538</v>
      </c>
      <c r="C503" s="190">
        <v>36</v>
      </c>
      <c r="D503" s="191" t="s">
        <v>3431</v>
      </c>
      <c r="E503" s="192">
        <v>366</v>
      </c>
      <c r="F503" s="192" t="s">
        <v>3737</v>
      </c>
      <c r="G503" s="191"/>
      <c r="H503" s="222" t="str">
        <f>HYPERLINK("http://bsdd.buildingsmart.org/#concept/details/1Ggaa0ZK4Ht00000PR1IRl","1Ggaa0ZK4Ht00000PR1IRl")</f>
        <v>1Ggaa0ZK4Ht00000PR1IRl</v>
      </c>
      <c r="I503" s="120" t="s">
        <v>5094</v>
      </c>
      <c r="J503" s="195" t="s">
        <v>4293</v>
      </c>
      <c r="K503" s="191" t="s">
        <v>3744</v>
      </c>
      <c r="L503" s="249" t="str">
        <f t="shared" ca="1" si="23"/>
        <v>heat recovery air to air cross</v>
      </c>
      <c r="M503" s="198"/>
      <c r="N503" s="192" t="s">
        <v>1027</v>
      </c>
      <c r="O503" s="192" t="s">
        <v>1032</v>
      </c>
      <c r="P503" s="206" t="s">
        <v>1033</v>
      </c>
      <c r="Q503" s="199" t="s">
        <v>1034</v>
      </c>
      <c r="R503" s="199" t="s">
        <v>1035</v>
      </c>
      <c r="S503" s="199" t="s">
        <v>1037</v>
      </c>
      <c r="T503" s="203"/>
      <c r="U503" s="198"/>
      <c r="V503" s="198"/>
      <c r="W503" s="198"/>
      <c r="X503" s="198"/>
      <c r="Y503" s="198"/>
      <c r="Z503" s="202" t="str">
        <f t="shared" si="0"/>
        <v>RLOM Coverings</v>
      </c>
      <c r="AA503" s="172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</row>
    <row r="504" spans="1:40" ht="33" customHeight="1">
      <c r="A504" s="190">
        <v>3</v>
      </c>
      <c r="B504" s="190" t="s">
        <v>538</v>
      </c>
      <c r="C504" s="190">
        <v>37</v>
      </c>
      <c r="D504" s="191" t="s">
        <v>3749</v>
      </c>
      <c r="E504" s="192">
        <v>371</v>
      </c>
      <c r="F504" s="192" t="s">
        <v>3750</v>
      </c>
      <c r="G504" s="191"/>
      <c r="H504" s="222" t="str">
        <f>HYPERLINK("http://bsdd.buildingsmart.org/#concept/details/2pCmoBw8b6eBn3Ja8abpH3","2pCmoBw8b6eBn3Ja8abpH3")</f>
        <v>2pCmoBw8b6eBn3Ja8abpH3</v>
      </c>
      <c r="I504" s="122" t="s">
        <v>5095</v>
      </c>
      <c r="J504" s="195" t="s">
        <v>4294</v>
      </c>
      <c r="K504" s="191"/>
      <c r="L504" s="249" t="str">
        <f t="shared" ca="1" si="23"/>
        <v>heat recovery air to air cross</v>
      </c>
      <c r="M504" s="198"/>
      <c r="N504" s="203" t="s">
        <v>565</v>
      </c>
      <c r="O504" s="199" t="s">
        <v>566</v>
      </c>
      <c r="P504" s="191" t="s">
        <v>567</v>
      </c>
      <c r="Q504" s="203" t="s">
        <v>569</v>
      </c>
      <c r="R504" s="203" t="s">
        <v>571</v>
      </c>
      <c r="S504" s="203" t="s">
        <v>573</v>
      </c>
      <c r="T504" s="203"/>
      <c r="U504" s="198"/>
      <c r="V504" s="198"/>
      <c r="W504" s="196"/>
      <c r="X504" s="196"/>
      <c r="Y504" s="196"/>
      <c r="Z504" s="202" t="str">
        <f t="shared" si="0"/>
        <v>RLOM PipeFittings</v>
      </c>
      <c r="AA504" s="172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</row>
    <row r="505" spans="1:40" ht="36" customHeight="1">
      <c r="A505" s="190">
        <v>3</v>
      </c>
      <c r="B505" s="190" t="s">
        <v>538</v>
      </c>
      <c r="C505" s="190">
        <v>37</v>
      </c>
      <c r="D505" s="191" t="s">
        <v>3749</v>
      </c>
      <c r="E505" s="192">
        <v>371</v>
      </c>
      <c r="F505" s="192" t="s">
        <v>3750</v>
      </c>
      <c r="G505" s="191"/>
      <c r="H505" s="208" t="str">
        <f>HYPERLINK("http://bsdd.buildingsmart.org/#concept/details/3tvMvSswv0Dw7HoTwOQYKj","3tvMvSswv0Dw7HoTwOQYKj")</f>
        <v>3tvMvSswv0Dw7HoTwOQYKj</v>
      </c>
      <c r="I505" s="119" t="s">
        <v>5096</v>
      </c>
      <c r="J505" s="209" t="s">
        <v>3321</v>
      </c>
      <c r="K505" s="209" t="s">
        <v>3752</v>
      </c>
      <c r="L505" s="247" t="s">
        <v>3322</v>
      </c>
      <c r="M505" s="198"/>
      <c r="N505" s="203" t="s">
        <v>722</v>
      </c>
      <c r="O505" s="199" t="s">
        <v>724</v>
      </c>
      <c r="P505" s="191" t="s">
        <v>726</v>
      </c>
      <c r="Q505" s="203" t="s">
        <v>569</v>
      </c>
      <c r="R505" s="203" t="s">
        <v>571</v>
      </c>
      <c r="S505" s="203" t="s">
        <v>728</v>
      </c>
      <c r="T505" s="203"/>
      <c r="U505" s="198"/>
      <c r="V505" s="198"/>
      <c r="W505" s="196"/>
      <c r="X505" s="196"/>
      <c r="Y505" s="196"/>
      <c r="Z505" s="202" t="str">
        <f t="shared" si="0"/>
        <v>RLOM PipeFittings</v>
      </c>
      <c r="AA505" s="172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</row>
    <row r="506" spans="1:40" ht="33" customHeight="1">
      <c r="A506" s="190">
        <v>3</v>
      </c>
      <c r="B506" s="190" t="s">
        <v>538</v>
      </c>
      <c r="C506" s="190">
        <v>37</v>
      </c>
      <c r="D506" s="191" t="s">
        <v>3749</v>
      </c>
      <c r="E506" s="192">
        <v>371</v>
      </c>
      <c r="F506" s="192" t="s">
        <v>3750</v>
      </c>
      <c r="G506" s="191"/>
      <c r="H506" s="222" t="str">
        <f>HYPERLINK("http://bsdd.buildingsmart.org/#concept/details/1CyptngGvAABsC_$o3jRvY","1CyptngGvAABsC_$o3jRvY")</f>
        <v>1CyptngGvAABsC_$o3jRvY</v>
      </c>
      <c r="I506" s="122" t="s">
        <v>5097</v>
      </c>
      <c r="J506" s="195" t="s">
        <v>3419</v>
      </c>
      <c r="K506" s="195" t="s">
        <v>3754</v>
      </c>
      <c r="L506" s="249" t="s">
        <v>3420</v>
      </c>
      <c r="M506" s="198"/>
      <c r="N506" s="203" t="s">
        <v>565</v>
      </c>
      <c r="O506" s="199" t="s">
        <v>566</v>
      </c>
      <c r="P506" s="191" t="s">
        <v>794</v>
      </c>
      <c r="Q506" s="203" t="s">
        <v>569</v>
      </c>
      <c r="R506" s="203" t="s">
        <v>571</v>
      </c>
      <c r="S506" s="203" t="s">
        <v>795</v>
      </c>
      <c r="T506" s="203" t="s">
        <v>796</v>
      </c>
      <c r="U506" s="198"/>
      <c r="V506" s="198"/>
      <c r="W506" s="196"/>
      <c r="X506" s="196"/>
      <c r="Y506" s="196"/>
      <c r="Z506" s="202" t="str">
        <f t="shared" si="0"/>
        <v>RLOM PipeFittings</v>
      </c>
      <c r="AA506" s="172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</row>
    <row r="507" spans="1:40" ht="33" customHeight="1">
      <c r="A507" s="190">
        <v>3</v>
      </c>
      <c r="B507" s="190" t="s">
        <v>538</v>
      </c>
      <c r="C507" s="190">
        <v>37</v>
      </c>
      <c r="D507" s="191" t="s">
        <v>3749</v>
      </c>
      <c r="E507" s="192">
        <v>371</v>
      </c>
      <c r="F507" s="192" t="s">
        <v>3750</v>
      </c>
      <c r="G507" s="191"/>
      <c r="H507" s="222" t="str">
        <f>HYPERLINK("http://bsdd.buildingsmart.org/#concept/details/3ybd$Jhz14nwCVkFdz9PE5","3ybd$Jhz14nwCVkFdz9PE5")</f>
        <v>3ybd$Jhz14nwCVkFdz9PE5</v>
      </c>
      <c r="I507" s="119" t="s">
        <v>5098</v>
      </c>
      <c r="J507" s="209" t="s">
        <v>4295</v>
      </c>
      <c r="K507" s="209" t="s">
        <v>3755</v>
      </c>
      <c r="L507" s="249" t="s">
        <v>4296</v>
      </c>
      <c r="M507" s="198"/>
      <c r="N507" s="203" t="s">
        <v>722</v>
      </c>
      <c r="O507" s="199" t="s">
        <v>724</v>
      </c>
      <c r="P507" s="191" t="s">
        <v>726</v>
      </c>
      <c r="Q507" s="203" t="s">
        <v>809</v>
      </c>
      <c r="R507" s="203" t="s">
        <v>810</v>
      </c>
      <c r="S507" s="203" t="s">
        <v>811</v>
      </c>
      <c r="T507" s="203"/>
      <c r="U507" s="198"/>
      <c r="V507" s="198"/>
      <c r="W507" s="196"/>
      <c r="X507" s="196"/>
      <c r="Y507" s="196"/>
      <c r="Z507" s="202" t="str">
        <f t="shared" si="0"/>
        <v>RLOM PipeSegments</v>
      </c>
      <c r="AA507" s="172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</row>
    <row r="508" spans="1:40" ht="33" customHeight="1">
      <c r="A508" s="190">
        <v>3</v>
      </c>
      <c r="B508" s="190" t="s">
        <v>538</v>
      </c>
      <c r="C508" s="190">
        <v>37</v>
      </c>
      <c r="D508" s="191" t="s">
        <v>3749</v>
      </c>
      <c r="E508" s="192">
        <v>371</v>
      </c>
      <c r="F508" s="192" t="s">
        <v>3750</v>
      </c>
      <c r="G508" s="191"/>
      <c r="H508" s="222" t="str">
        <f>HYPERLINK("http://bsdd.buildingsmart.org/#concept/details/2Cxjz40Xb4ix6YnOGnhfbX","2Cxjz40Xb4ix6YnOGnhfbX")</f>
        <v>2Cxjz40Xb4ix6YnOGnhfbX</v>
      </c>
      <c r="I508" s="122" t="s">
        <v>5099</v>
      </c>
      <c r="J508" s="195" t="s">
        <v>4297</v>
      </c>
      <c r="K508" s="195" t="s">
        <v>3757</v>
      </c>
      <c r="L508" s="249" t="s">
        <v>4298</v>
      </c>
      <c r="M508" s="198"/>
      <c r="N508" s="203" t="s">
        <v>565</v>
      </c>
      <c r="O508" s="199" t="s">
        <v>566</v>
      </c>
      <c r="P508" s="191" t="s">
        <v>794</v>
      </c>
      <c r="Q508" s="203" t="s">
        <v>569</v>
      </c>
      <c r="R508" s="203" t="s">
        <v>571</v>
      </c>
      <c r="S508" s="203" t="s">
        <v>795</v>
      </c>
      <c r="T508" s="203" t="s">
        <v>910</v>
      </c>
      <c r="U508" s="198"/>
      <c r="V508" s="198"/>
      <c r="W508" s="196"/>
      <c r="X508" s="196"/>
      <c r="Y508" s="196"/>
      <c r="Z508" s="202" t="str">
        <f t="shared" si="0"/>
        <v>RLOM PipeFittings</v>
      </c>
      <c r="AA508" s="172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</row>
    <row r="509" spans="1:40" ht="21.75" customHeight="1">
      <c r="A509" s="190">
        <v>3</v>
      </c>
      <c r="B509" s="190" t="s">
        <v>538</v>
      </c>
      <c r="C509" s="190">
        <v>37</v>
      </c>
      <c r="D509" s="191" t="s">
        <v>3749</v>
      </c>
      <c r="E509" s="192">
        <v>372</v>
      </c>
      <c r="F509" s="192" t="s">
        <v>3758</v>
      </c>
      <c r="G509" s="191"/>
      <c r="H509" s="222" t="str">
        <f>HYPERLINK("http://bsdd.buildingsmart.org/#concept/details/2ybPlnVTn5GxrXTzbMuvpy","2ybPlnVTn5GxrXTzbMuvpy")</f>
        <v>2ybPlnVTn5GxrXTzbMuvpy</v>
      </c>
      <c r="I509" s="122" t="s">
        <v>5100</v>
      </c>
      <c r="J509" s="195" t="s">
        <v>4299</v>
      </c>
      <c r="K509" s="191"/>
      <c r="L509" s="249" t="str">
        <f t="shared" ref="L509:L510" ca="1" si="24">IFERROR(__xludf.DUMMYFUNCTION(GOOGLETRANSLATE(J509,"no","en")),"bend comfort cooling")</f>
        <v>bend comfort cooling</v>
      </c>
      <c r="M509" s="198"/>
      <c r="N509" s="203" t="s">
        <v>565</v>
      </c>
      <c r="O509" s="199" t="s">
        <v>566</v>
      </c>
      <c r="P509" s="191" t="s">
        <v>567</v>
      </c>
      <c r="Q509" s="203" t="s">
        <v>569</v>
      </c>
      <c r="R509" s="203" t="s">
        <v>571</v>
      </c>
      <c r="S509" s="203" t="s">
        <v>573</v>
      </c>
      <c r="T509" s="203"/>
      <c r="U509" s="198"/>
      <c r="V509" s="198"/>
      <c r="W509" s="198"/>
      <c r="X509" s="198"/>
      <c r="Y509" s="198"/>
      <c r="Z509" s="202" t="str">
        <f t="shared" si="0"/>
        <v>RLOM PipeFittings</v>
      </c>
      <c r="AA509" s="172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</row>
    <row r="510" spans="1:40" ht="24" customHeight="1">
      <c r="A510" s="190">
        <v>3</v>
      </c>
      <c r="B510" s="190" t="s">
        <v>538</v>
      </c>
      <c r="C510" s="190">
        <v>37</v>
      </c>
      <c r="D510" s="191" t="s">
        <v>3749</v>
      </c>
      <c r="E510" s="192">
        <v>372</v>
      </c>
      <c r="F510" s="192" t="s">
        <v>3758</v>
      </c>
      <c r="G510" s="191"/>
      <c r="H510" s="208" t="str">
        <f>HYPERLINK("http://bsdd.buildingsmart.org/#concept/details/1iYoq8pPfBxO1TziwhWk86","1iYoq8pPfBxO1TziwhWk86")</f>
        <v>1iYoq8pPfBxO1TziwhWk86</v>
      </c>
      <c r="I510" s="119" t="s">
        <v>5101</v>
      </c>
      <c r="J510" s="209" t="s">
        <v>4300</v>
      </c>
      <c r="K510" s="206"/>
      <c r="L510" s="249" t="str">
        <f t="shared" ca="1" si="24"/>
        <v>bend comfort cooling</v>
      </c>
      <c r="M510" s="198"/>
      <c r="N510" s="203" t="s">
        <v>722</v>
      </c>
      <c r="O510" s="199" t="s">
        <v>724</v>
      </c>
      <c r="P510" s="191" t="s">
        <v>726</v>
      </c>
      <c r="Q510" s="203" t="s">
        <v>569</v>
      </c>
      <c r="R510" s="203" t="s">
        <v>571</v>
      </c>
      <c r="S510" s="203" t="s">
        <v>728</v>
      </c>
      <c r="T510" s="203"/>
      <c r="U510" s="198"/>
      <c r="V510" s="198"/>
      <c r="W510" s="198"/>
      <c r="X510" s="198"/>
      <c r="Y510" s="198"/>
      <c r="Z510" s="202" t="str">
        <f t="shared" si="0"/>
        <v>RLOM PipeFittings</v>
      </c>
      <c r="AA510" s="172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</row>
    <row r="511" spans="1:40" ht="21.75" customHeight="1">
      <c r="A511" s="190">
        <v>3</v>
      </c>
      <c r="B511" s="190" t="s">
        <v>538</v>
      </c>
      <c r="C511" s="190">
        <v>37</v>
      </c>
      <c r="D511" s="191" t="s">
        <v>3749</v>
      </c>
      <c r="E511" s="192">
        <v>372</v>
      </c>
      <c r="F511" s="192" t="s">
        <v>3758</v>
      </c>
      <c r="G511" s="191"/>
      <c r="H511" s="222" t="str">
        <f>HYPERLINK("http://bsdd.buildingsmart.org/#concept/details/1QiSyxJQbFtQA1swavrj05","1QiSyxJQbFtQA1swavrj05")</f>
        <v>1QiSyxJQbFtQA1swavrj05</v>
      </c>
      <c r="I511" s="122" t="s">
        <v>5102</v>
      </c>
      <c r="J511" s="195" t="s">
        <v>4301</v>
      </c>
      <c r="K511" s="191"/>
      <c r="L511" s="249" t="s">
        <v>3420</v>
      </c>
      <c r="M511" s="198"/>
      <c r="N511" s="203" t="s">
        <v>565</v>
      </c>
      <c r="O511" s="199" t="s">
        <v>566</v>
      </c>
      <c r="P511" s="191" t="s">
        <v>794</v>
      </c>
      <c r="Q511" s="203" t="s">
        <v>569</v>
      </c>
      <c r="R511" s="203" t="s">
        <v>571</v>
      </c>
      <c r="S511" s="203" t="s">
        <v>795</v>
      </c>
      <c r="T511" s="203" t="s">
        <v>796</v>
      </c>
      <c r="U511" s="198"/>
      <c r="V511" s="198"/>
      <c r="W511" s="198"/>
      <c r="X511" s="198"/>
      <c r="Y511" s="198"/>
      <c r="Z511" s="202" t="str">
        <f t="shared" si="0"/>
        <v>RLOM PipeFittings</v>
      </c>
      <c r="AA511" s="172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</row>
    <row r="512" spans="1:40" ht="21.75" customHeight="1">
      <c r="A512" s="190">
        <v>3</v>
      </c>
      <c r="B512" s="190" t="s">
        <v>538</v>
      </c>
      <c r="C512" s="190">
        <v>37</v>
      </c>
      <c r="D512" s="191" t="s">
        <v>3749</v>
      </c>
      <c r="E512" s="192">
        <v>372</v>
      </c>
      <c r="F512" s="192" t="s">
        <v>3758</v>
      </c>
      <c r="G512" s="191"/>
      <c r="H512" s="222" t="str">
        <f>HYPERLINK("http://bsdd.buildingsmart.org/#concept/details/1WG_DzY7b2zh8hXAF4mBcu","1WG_DzY7b2zh8hXAF4mBcu")</f>
        <v>1WG_DzY7b2zh8hXAF4mBcu</v>
      </c>
      <c r="I512" s="119" t="s">
        <v>5103</v>
      </c>
      <c r="J512" s="209" t="s">
        <v>4302</v>
      </c>
      <c r="K512" s="206"/>
      <c r="L512" s="249" t="str">
        <f t="shared" ref="L512:L516" ca="1" si="25">IFERROR(__xludf.DUMMYFUNCTION(GOOGLETRANSLATE(J512,"no","en")),"pipe comfort cooling")</f>
        <v>pipe comfort cooling</v>
      </c>
      <c r="M512" s="198"/>
      <c r="N512" s="203" t="s">
        <v>722</v>
      </c>
      <c r="O512" s="199" t="s">
        <v>724</v>
      </c>
      <c r="P512" s="191" t="s">
        <v>726</v>
      </c>
      <c r="Q512" s="203" t="s">
        <v>809</v>
      </c>
      <c r="R512" s="203" t="s">
        <v>810</v>
      </c>
      <c r="S512" s="203" t="s">
        <v>811</v>
      </c>
      <c r="T512" s="203"/>
      <c r="U512" s="198"/>
      <c r="V512" s="198"/>
      <c r="W512" s="198"/>
      <c r="X512" s="198"/>
      <c r="Y512" s="198"/>
      <c r="Z512" s="202" t="str">
        <f t="shared" si="0"/>
        <v>RLOM PipeSegments</v>
      </c>
      <c r="AA512" s="172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</row>
    <row r="513" spans="1:40" ht="21.75" customHeight="1">
      <c r="A513" s="190">
        <v>3</v>
      </c>
      <c r="B513" s="190" t="s">
        <v>538</v>
      </c>
      <c r="C513" s="190">
        <v>37</v>
      </c>
      <c r="D513" s="191" t="s">
        <v>3749</v>
      </c>
      <c r="E513" s="192">
        <v>372</v>
      </c>
      <c r="F513" s="192" t="s">
        <v>3758</v>
      </c>
      <c r="G513" s="191"/>
      <c r="H513" s="222" t="str">
        <f>HYPERLINK("http://bsdd.buildingsmart.org/#concept/details/1QpkHLrIX7OP2Z52hKkPKb","1QpkHLrIX7OP2Z52hKkPKb")</f>
        <v>1QpkHLrIX7OP2Z52hKkPKb</v>
      </c>
      <c r="I513" s="122" t="s">
        <v>5104</v>
      </c>
      <c r="J513" s="195" t="s">
        <v>4303</v>
      </c>
      <c r="K513" s="191"/>
      <c r="L513" s="249" t="str">
        <f t="shared" ca="1" si="25"/>
        <v>pipe comfort cooling</v>
      </c>
      <c r="M513" s="198"/>
      <c r="N513" s="203" t="s">
        <v>565</v>
      </c>
      <c r="O513" s="199" t="s">
        <v>566</v>
      </c>
      <c r="P513" s="191" t="s">
        <v>794</v>
      </c>
      <c r="Q513" s="203" t="s">
        <v>569</v>
      </c>
      <c r="R513" s="203" t="s">
        <v>571</v>
      </c>
      <c r="S513" s="203" t="s">
        <v>795</v>
      </c>
      <c r="T513" s="203" t="s">
        <v>910</v>
      </c>
      <c r="U513" s="198"/>
      <c r="V513" s="198"/>
      <c r="W513" s="198"/>
      <c r="X513" s="198"/>
      <c r="Y513" s="198"/>
      <c r="Z513" s="202" t="str">
        <f t="shared" si="0"/>
        <v>RLOM PipeFittings</v>
      </c>
      <c r="AA513" s="172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</row>
    <row r="514" spans="1:40" ht="21.75" customHeight="1">
      <c r="A514" s="190">
        <v>3</v>
      </c>
      <c r="B514" s="190" t="s">
        <v>538</v>
      </c>
      <c r="C514" s="190">
        <v>37</v>
      </c>
      <c r="D514" s="191" t="s">
        <v>3749</v>
      </c>
      <c r="E514" s="192">
        <v>374</v>
      </c>
      <c r="F514" s="192" t="s">
        <v>3767</v>
      </c>
      <c r="G514" s="233"/>
      <c r="H514" s="222" t="str">
        <f>HYPERLINK("http://bsdd.buildingsmart.org/#concept/details/3RNvpaYLDAWx1GPeK_ApU2","3RNvpaYLDAWx1GPeK_ApU2")</f>
        <v>3RNvpaYLDAWx1GPeK_ApU2</v>
      </c>
      <c r="I514" s="120" t="s">
        <v>5105</v>
      </c>
      <c r="J514" s="195" t="s">
        <v>4304</v>
      </c>
      <c r="K514" s="191"/>
      <c r="L514" s="249" t="str">
        <f t="shared" ca="1" si="25"/>
        <v>pipe comfort cooling</v>
      </c>
      <c r="M514" s="198"/>
      <c r="N514" s="203"/>
      <c r="O514" s="203"/>
      <c r="P514" s="191"/>
      <c r="Q514" s="203" t="s">
        <v>3207</v>
      </c>
      <c r="R514" s="203"/>
      <c r="S514" s="203"/>
      <c r="T514" s="203"/>
      <c r="U514" s="198"/>
      <c r="V514" s="198"/>
      <c r="W514" s="198"/>
      <c r="X514" s="198"/>
      <c r="Y514" s="198"/>
      <c r="Z514" s="202" t="str">
        <f t="shared" si="0"/>
        <v>RLOM FlowTerminals</v>
      </c>
      <c r="AA514" s="172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</row>
    <row r="515" spans="1:40" ht="21.75" customHeight="1">
      <c r="A515" s="190">
        <v>3</v>
      </c>
      <c r="B515" s="190" t="s">
        <v>538</v>
      </c>
      <c r="C515" s="190">
        <v>37</v>
      </c>
      <c r="D515" s="191" t="s">
        <v>3749</v>
      </c>
      <c r="E515" s="192">
        <v>374</v>
      </c>
      <c r="F515" s="192" t="s">
        <v>3767</v>
      </c>
      <c r="G515" s="233"/>
      <c r="H515" s="222" t="str">
        <f>HYPERLINK("http://bsdd.buildingsmart.org/#concept/details/0Q3_ShqyDBXQZM8puG3gFs","0Q3_ShqyDBXQZM8puG3gFs")</f>
        <v>0Q3_ShqyDBXQZM8puG3gFs</v>
      </c>
      <c r="I515" s="120" t="s">
        <v>5106</v>
      </c>
      <c r="J515" s="195" t="s">
        <v>4305</v>
      </c>
      <c r="K515" s="191"/>
      <c r="L515" s="249" t="str">
        <f t="shared" ca="1" si="25"/>
        <v>pipe comfort cooling</v>
      </c>
      <c r="M515" s="198"/>
      <c r="N515" s="203"/>
      <c r="O515" s="203"/>
      <c r="P515" s="191"/>
      <c r="Q515" s="203" t="s">
        <v>3254</v>
      </c>
      <c r="R515" s="203"/>
      <c r="S515" s="203"/>
      <c r="T515" s="203"/>
      <c r="U515" s="198"/>
      <c r="V515" s="198"/>
      <c r="W515" s="198"/>
      <c r="X515" s="198"/>
      <c r="Y515" s="198"/>
      <c r="Z515" s="202" t="str">
        <f t="shared" si="0"/>
        <v>RLOM FlowControllers</v>
      </c>
      <c r="AA515" s="172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</row>
    <row r="516" spans="1:40" ht="21.75" customHeight="1">
      <c r="A516" s="190">
        <v>3</v>
      </c>
      <c r="B516" s="190" t="s">
        <v>538</v>
      </c>
      <c r="C516" s="190">
        <v>37</v>
      </c>
      <c r="D516" s="191" t="s">
        <v>3749</v>
      </c>
      <c r="E516" s="192">
        <v>374</v>
      </c>
      <c r="F516" s="192" t="s">
        <v>3767</v>
      </c>
      <c r="G516" s="233"/>
      <c r="H516" s="222" t="str">
        <f>HYPERLINK("http://bsdd.buildingsmart.org/#concept/details/3jzqsOhKr6BBEBQ_5KgD9L","3jzqsOhKr6BBEBQ_5KgD9L")</f>
        <v>3jzqsOhKr6BBEBQ_5KgD9L</v>
      </c>
      <c r="I516" s="120" t="s">
        <v>5107</v>
      </c>
      <c r="J516" s="195" t="s">
        <v>4306</v>
      </c>
      <c r="K516" s="191"/>
      <c r="L516" s="249" t="str">
        <f t="shared" ca="1" si="25"/>
        <v>pipe comfort cooling</v>
      </c>
      <c r="M516" s="198"/>
      <c r="N516" s="203"/>
      <c r="O516" s="203"/>
      <c r="P516" s="191"/>
      <c r="Q516" s="203" t="s">
        <v>3254</v>
      </c>
      <c r="R516" s="203"/>
      <c r="S516" s="203"/>
      <c r="T516" s="203"/>
      <c r="U516" s="198"/>
      <c r="V516" s="198"/>
      <c r="W516" s="198"/>
      <c r="X516" s="198"/>
      <c r="Y516" s="198"/>
      <c r="Z516" s="202" t="str">
        <f t="shared" si="0"/>
        <v>RLOM FlowControllers</v>
      </c>
      <c r="AA516" s="172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</row>
    <row r="517" spans="1:40" ht="21.75" customHeight="1">
      <c r="A517" s="190">
        <v>3</v>
      </c>
      <c r="B517" s="190" t="s">
        <v>538</v>
      </c>
      <c r="C517" s="190">
        <v>37</v>
      </c>
      <c r="D517" s="191" t="s">
        <v>3749</v>
      </c>
      <c r="E517" s="192">
        <v>375</v>
      </c>
      <c r="F517" s="192" t="s">
        <v>3773</v>
      </c>
      <c r="G517" s="191"/>
      <c r="H517" s="222" t="str">
        <f>HYPERLINK("http://bsdd.buildingsmart.org/#concept/details/0S4M$d9kX1Het2B3J9juZi","0S4M$d9kX1Het2B3J9juZi")</f>
        <v>0S4M$d9kX1Het2B3J9juZi</v>
      </c>
      <c r="I517" s="122" t="s">
        <v>3775</v>
      </c>
      <c r="J517" s="195" t="s">
        <v>4307</v>
      </c>
      <c r="K517" s="191"/>
      <c r="L517" s="249" t="s">
        <v>4308</v>
      </c>
      <c r="M517" s="198"/>
      <c r="N517" s="203" t="s">
        <v>3777</v>
      </c>
      <c r="O517" s="203" t="s">
        <v>3778</v>
      </c>
      <c r="P517" s="191"/>
      <c r="Q517" s="203" t="s">
        <v>3779</v>
      </c>
      <c r="R517" s="203" t="s">
        <v>3780</v>
      </c>
      <c r="S517" s="203" t="s">
        <v>3781</v>
      </c>
      <c r="T517" s="203"/>
      <c r="U517" s="198"/>
      <c r="V517" s="198"/>
      <c r="W517" s="198"/>
      <c r="X517" s="198"/>
      <c r="Y517" s="198"/>
      <c r="Z517" s="202" t="str">
        <f t="shared" si="0"/>
        <v>RLOM CooledBeams</v>
      </c>
      <c r="AA517" s="172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</row>
    <row r="518" spans="1:40" ht="24" customHeight="1">
      <c r="A518" s="190">
        <v>3</v>
      </c>
      <c r="B518" s="190" t="s">
        <v>538</v>
      </c>
      <c r="C518" s="190">
        <v>37</v>
      </c>
      <c r="D518" s="191" t="s">
        <v>3749</v>
      </c>
      <c r="E518" s="192">
        <v>375</v>
      </c>
      <c r="F518" s="192" t="s">
        <v>3773</v>
      </c>
      <c r="G518" s="191"/>
      <c r="H518" s="222" t="str">
        <f>HYPERLINK("http://bsdd.buildingsmart.org/#concept/details/28XLScxJLFzPb_nLdo3AHA","28XLScxJLFzPb_nLdo3AHA")</f>
        <v>28XLScxJLFzPb_nLdo3AHA</v>
      </c>
      <c r="I518" s="122" t="s">
        <v>3782</v>
      </c>
      <c r="J518" s="195" t="s">
        <v>4309</v>
      </c>
      <c r="K518" s="191"/>
      <c r="L518" s="249" t="s">
        <v>4308</v>
      </c>
      <c r="M518" s="198"/>
      <c r="N518" s="203" t="s">
        <v>3777</v>
      </c>
      <c r="O518" s="203" t="s">
        <v>3778</v>
      </c>
      <c r="P518" s="191"/>
      <c r="Q518" s="203" t="s">
        <v>3779</v>
      </c>
      <c r="R518" s="203" t="s">
        <v>3780</v>
      </c>
      <c r="S518" s="203" t="s">
        <v>3783</v>
      </c>
      <c r="T518" s="203"/>
      <c r="U518" s="198"/>
      <c r="V518" s="198"/>
      <c r="W518" s="198"/>
      <c r="X518" s="198"/>
      <c r="Y518" s="198"/>
      <c r="Z518" s="202" t="str">
        <f t="shared" si="0"/>
        <v>RLOM CooledBeams</v>
      </c>
      <c r="AA518" s="172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</row>
    <row r="519" spans="1:40" ht="24" customHeight="1">
      <c r="A519" s="190">
        <v>3</v>
      </c>
      <c r="B519" s="190" t="s">
        <v>538</v>
      </c>
      <c r="C519" s="190">
        <v>37</v>
      </c>
      <c r="D519" s="191" t="s">
        <v>3749</v>
      </c>
      <c r="E519" s="192">
        <v>375</v>
      </c>
      <c r="F519" s="192" t="s">
        <v>3773</v>
      </c>
      <c r="G519" s="191"/>
      <c r="H519" s="222" t="str">
        <f>HYPERLINK("http://bsdd.buildingsmart.org/#concept/details/1KPFFDgqjCwRQDfiRBO5eD","1KPFFDgqjCwRQDfiRBO5eD")</f>
        <v>1KPFFDgqjCwRQDfiRBO5eD</v>
      </c>
      <c r="I519" s="122" t="s">
        <v>3784</v>
      </c>
      <c r="J519" s="195" t="s">
        <v>4310</v>
      </c>
      <c r="K519" s="191"/>
      <c r="L519" s="249" t="s">
        <v>4308</v>
      </c>
      <c r="M519" s="198"/>
      <c r="N519" s="203" t="s">
        <v>3777</v>
      </c>
      <c r="O519" s="203" t="s">
        <v>3778</v>
      </c>
      <c r="P519" s="191"/>
      <c r="Q519" s="203" t="s">
        <v>3779</v>
      </c>
      <c r="R519" s="203" t="s">
        <v>3780</v>
      </c>
      <c r="S519" s="203" t="s">
        <v>3781</v>
      </c>
      <c r="T519" s="203"/>
      <c r="U519" s="198"/>
      <c r="V519" s="198"/>
      <c r="W519" s="198"/>
      <c r="X519" s="198"/>
      <c r="Y519" s="198"/>
      <c r="Z519" s="202" t="str">
        <f t="shared" si="0"/>
        <v>RLOM CooledBeams</v>
      </c>
      <c r="AA519" s="172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</row>
    <row r="520" spans="1:40" ht="21.75" customHeight="1">
      <c r="A520" s="190">
        <v>3</v>
      </c>
      <c r="B520" s="190" t="s">
        <v>538</v>
      </c>
      <c r="C520" s="190">
        <v>37</v>
      </c>
      <c r="D520" s="191" t="s">
        <v>3749</v>
      </c>
      <c r="E520" s="192">
        <v>375</v>
      </c>
      <c r="F520" s="192" t="s">
        <v>3773</v>
      </c>
      <c r="G520" s="191"/>
      <c r="H520" s="222" t="str">
        <f>HYPERLINK("http://bsdd.buildingsmart.org/#concept/details/2LrSJhO0n5thbEvG3qQ0wj","2LrSJhO0n5thbEvG3qQ0wj")</f>
        <v>2LrSJhO0n5thbEvG3qQ0wj</v>
      </c>
      <c r="I520" s="122" t="s">
        <v>3786</v>
      </c>
      <c r="J520" s="195" t="s">
        <v>4311</v>
      </c>
      <c r="K520" s="191"/>
      <c r="L520" s="249" t="s">
        <v>4308</v>
      </c>
      <c r="M520" s="198"/>
      <c r="N520" s="203" t="s">
        <v>3777</v>
      </c>
      <c r="O520" s="203" t="s">
        <v>3778</v>
      </c>
      <c r="P520" s="191" t="s">
        <v>3787</v>
      </c>
      <c r="Q520" s="203" t="s">
        <v>3779</v>
      </c>
      <c r="R520" s="203"/>
      <c r="S520" s="203"/>
      <c r="T520" s="203"/>
      <c r="U520" s="198"/>
      <c r="V520" s="198"/>
      <c r="W520" s="198"/>
      <c r="X520" s="198"/>
      <c r="Y520" s="198"/>
      <c r="Z520" s="202" t="str">
        <f t="shared" si="0"/>
        <v>RLOM CooledBeams</v>
      </c>
      <c r="AA520" s="172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</row>
    <row r="521" spans="1:40" ht="24" customHeight="1">
      <c r="A521" s="190">
        <v>3</v>
      </c>
      <c r="B521" s="190" t="s">
        <v>538</v>
      </c>
      <c r="C521" s="190">
        <v>37</v>
      </c>
      <c r="D521" s="191" t="s">
        <v>3749</v>
      </c>
      <c r="E521" s="192">
        <v>375</v>
      </c>
      <c r="F521" s="192" t="s">
        <v>3773</v>
      </c>
      <c r="G521" s="191"/>
      <c r="H521" s="222" t="str">
        <f>HYPERLINK("http://bsdd.buildingsmart.org/#concept/details/3GYRNT_9X4G9UkWwYIb1ke","3GYRNT_9X4G9UkWwYIb1ke")</f>
        <v>3GYRNT_9X4G9UkWwYIb1ke</v>
      </c>
      <c r="I521" s="122" t="s">
        <v>5108</v>
      </c>
      <c r="J521" s="195" t="s">
        <v>4312</v>
      </c>
      <c r="K521" s="191"/>
      <c r="L521" s="249" t="s">
        <v>4308</v>
      </c>
      <c r="M521" s="198"/>
      <c r="N521" s="203"/>
      <c r="O521" s="203"/>
      <c r="P521" s="191"/>
      <c r="Q521" s="203" t="s">
        <v>3779</v>
      </c>
      <c r="R521" s="203"/>
      <c r="S521" s="203"/>
      <c r="T521" s="203"/>
      <c r="U521" s="198"/>
      <c r="V521" s="198"/>
      <c r="W521" s="198"/>
      <c r="X521" s="198"/>
      <c r="Y521" s="198"/>
      <c r="Z521" s="202" t="str">
        <f t="shared" si="0"/>
        <v>RLOM CooledBeams</v>
      </c>
      <c r="AA521" s="172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</row>
    <row r="522" spans="1:40" ht="24" customHeight="1">
      <c r="A522" s="190">
        <v>3</v>
      </c>
      <c r="B522" s="190" t="s">
        <v>538</v>
      </c>
      <c r="C522" s="190">
        <v>37</v>
      </c>
      <c r="D522" s="191" t="s">
        <v>3749</v>
      </c>
      <c r="E522" s="192">
        <v>375</v>
      </c>
      <c r="F522" s="192" t="s">
        <v>1642</v>
      </c>
      <c r="G522" s="193"/>
      <c r="H522" s="208" t="str">
        <f>HYPERLINK("http://bsdd.buildingsmart.org/#concept/details/0UfcA6kXj8ugkr3Eaqgi0O","0UfcA6kXj8ugkr3Eaqgi0O")</f>
        <v>0UfcA6kXj8ugkr3Eaqgi0O</v>
      </c>
      <c r="I522" s="119" t="s">
        <v>5109</v>
      </c>
      <c r="J522" s="209" t="s">
        <v>4313</v>
      </c>
      <c r="K522" s="206" t="s">
        <v>2282</v>
      </c>
      <c r="L522" s="249" t="str">
        <f ca="1">IFERROR(__xludf.DUMMYFUNCTION(GOOGLETRANSLATE(J522,"no","en")),"circulator comfort cooling")</f>
        <v>circulator comfort cooling</v>
      </c>
      <c r="M522" s="198"/>
      <c r="N522" s="203" t="s">
        <v>1777</v>
      </c>
      <c r="O522" s="203" t="s">
        <v>2284</v>
      </c>
      <c r="P522" s="191" t="s">
        <v>2285</v>
      </c>
      <c r="Q522" s="203" t="s">
        <v>1779</v>
      </c>
      <c r="R522" s="203" t="s">
        <v>1780</v>
      </c>
      <c r="S522" s="203" t="s">
        <v>2287</v>
      </c>
      <c r="T522" s="199"/>
      <c r="U522" s="198"/>
      <c r="V522" s="198"/>
      <c r="W522" s="198"/>
      <c r="X522" s="198"/>
      <c r="Y522" s="198"/>
      <c r="Z522" s="202" t="str">
        <f t="shared" si="0"/>
        <v>RLOM Pumps</v>
      </c>
      <c r="AA522" s="172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</row>
    <row r="523" spans="1:40" ht="33" customHeight="1">
      <c r="A523" s="190">
        <v>3</v>
      </c>
      <c r="B523" s="190" t="s">
        <v>538</v>
      </c>
      <c r="C523" s="190">
        <v>37</v>
      </c>
      <c r="D523" s="191" t="s">
        <v>3749</v>
      </c>
      <c r="E523" s="192">
        <v>376</v>
      </c>
      <c r="F523" s="192" t="s">
        <v>3791</v>
      </c>
      <c r="G523" s="191"/>
      <c r="H523" s="222" t="str">
        <f>HYPERLINK("http://bsdd.buildingsmart.org/#concept/details/0_ssjCLED0iO1BoalOdfE5","0_ssjCLED0iO1BoalOdfE5")</f>
        <v>0_ssjCLED0iO1BoalOdfE5</v>
      </c>
      <c r="I523" s="120" t="s">
        <v>5110</v>
      </c>
      <c r="J523" s="195" t="s">
        <v>4314</v>
      </c>
      <c r="K523" s="191" t="s">
        <v>3014</v>
      </c>
      <c r="L523" s="249" t="s">
        <v>4015</v>
      </c>
      <c r="M523" s="203" t="s">
        <v>3016</v>
      </c>
      <c r="N523" s="192" t="s">
        <v>1027</v>
      </c>
      <c r="O523" s="192" t="s">
        <v>1032</v>
      </c>
      <c r="P523" s="206" t="s">
        <v>1033</v>
      </c>
      <c r="Q523" s="199" t="s">
        <v>1034</v>
      </c>
      <c r="R523" s="199" t="s">
        <v>1035</v>
      </c>
      <c r="S523" s="199" t="s">
        <v>1037</v>
      </c>
      <c r="T523" s="203"/>
      <c r="U523" s="198"/>
      <c r="V523" s="198"/>
      <c r="W523" s="198"/>
      <c r="X523" s="198"/>
      <c r="Y523" s="198"/>
      <c r="Z523" s="202" t="str">
        <f t="shared" si="0"/>
        <v>RLOM Coverings</v>
      </c>
      <c r="AA523" s="172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</row>
    <row r="524" spans="1:40" ht="24" customHeight="1">
      <c r="A524" s="190">
        <v>3</v>
      </c>
      <c r="B524" s="190" t="s">
        <v>538</v>
      </c>
      <c r="C524" s="190">
        <v>38</v>
      </c>
      <c r="D524" s="191" t="s">
        <v>3793</v>
      </c>
      <c r="E524" s="192">
        <v>381</v>
      </c>
      <c r="F524" s="192" t="s">
        <v>3794</v>
      </c>
      <c r="G524" s="191"/>
      <c r="H524" s="222" t="str">
        <f>HYPERLINK("http://bsdd.buildingsmart.org/#concept/details/0pJfyJwPf2n8N42FluttRA","0pJfyJwPf2n8N42FluttRA")</f>
        <v>0pJfyJwPf2n8N42FluttRA</v>
      </c>
      <c r="I524" s="123" t="s">
        <v>5111</v>
      </c>
      <c r="J524" s="195" t="s">
        <v>4315</v>
      </c>
      <c r="K524" s="191"/>
      <c r="L524" s="249" t="str">
        <f t="shared" ref="L524:L526" ca="1" si="26">IFERROR(__xludf.DUMMYFUNCTION(GOOGLETRANSLATE(J524,"no","en")),"Armature purification drinking water")</f>
        <v>Armature purification drinking water</v>
      </c>
      <c r="M524" s="198"/>
      <c r="N524" s="203"/>
      <c r="O524" s="203"/>
      <c r="P524" s="191"/>
      <c r="Q524" s="203" t="s">
        <v>986</v>
      </c>
      <c r="R524" s="203" t="s">
        <v>987</v>
      </c>
      <c r="S524" s="203" t="s">
        <v>1380</v>
      </c>
      <c r="T524" s="203"/>
      <c r="U524" s="198"/>
      <c r="V524" s="198"/>
      <c r="W524" s="198"/>
      <c r="X524" s="198"/>
      <c r="Y524" s="198"/>
      <c r="Z524" s="202" t="str">
        <f t="shared" si="0"/>
        <v>RLOM Valves</v>
      </c>
      <c r="AA524" s="172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</row>
    <row r="525" spans="1:40" ht="24" customHeight="1">
      <c r="A525" s="190">
        <v>3</v>
      </c>
      <c r="B525" s="190" t="s">
        <v>538</v>
      </c>
      <c r="C525" s="190">
        <v>38</v>
      </c>
      <c r="D525" s="191" t="s">
        <v>3793</v>
      </c>
      <c r="E525" s="192">
        <v>381</v>
      </c>
      <c r="F525" s="192" t="s">
        <v>3794</v>
      </c>
      <c r="G525" s="191"/>
      <c r="H525" s="222" t="str">
        <f>HYPERLINK("http://bsdd.buildingsmart.org/#concept/details/0flaZ92vbDNRuE17$AcRxW","0flaZ92vbDNRuE17$AcRxW")</f>
        <v>0flaZ92vbDNRuE17$AcRxW</v>
      </c>
      <c r="I525" s="122" t="s">
        <v>5112</v>
      </c>
      <c r="J525" s="195" t="s">
        <v>4316</v>
      </c>
      <c r="K525" s="191"/>
      <c r="L525" s="249" t="str">
        <f t="shared" ca="1" si="26"/>
        <v>Armature purification drinking water</v>
      </c>
      <c r="M525" s="198"/>
      <c r="N525" s="203" t="s">
        <v>565</v>
      </c>
      <c r="O525" s="199" t="s">
        <v>566</v>
      </c>
      <c r="P525" s="191" t="s">
        <v>567</v>
      </c>
      <c r="Q525" s="203" t="s">
        <v>569</v>
      </c>
      <c r="R525" s="203" t="s">
        <v>571</v>
      </c>
      <c r="S525" s="203" t="s">
        <v>573</v>
      </c>
      <c r="T525" s="203"/>
      <c r="U525" s="198"/>
      <c r="V525" s="198"/>
      <c r="W525" s="198"/>
      <c r="X525" s="198"/>
      <c r="Y525" s="198"/>
      <c r="Z525" s="202" t="str">
        <f t="shared" si="0"/>
        <v>RLOM PipeFittings</v>
      </c>
      <c r="AA525" s="172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</row>
    <row r="526" spans="1:40" ht="24" customHeight="1">
      <c r="A526" s="190">
        <v>3</v>
      </c>
      <c r="B526" s="190" t="s">
        <v>538</v>
      </c>
      <c r="C526" s="190">
        <v>38</v>
      </c>
      <c r="D526" s="191" t="s">
        <v>3793</v>
      </c>
      <c r="E526" s="192">
        <v>381</v>
      </c>
      <c r="F526" s="192" t="s">
        <v>3794</v>
      </c>
      <c r="G526" s="191"/>
      <c r="H526" s="208" t="str">
        <f>HYPERLINK("http://bsdd.buildingsmart.org/#concept/details/1oYrOL66z2x9Odm8BGiwOS","1oYrOL66z2x9Odm8BGiwOS")</f>
        <v>1oYrOL66z2x9Odm8BGiwOS</v>
      </c>
      <c r="I526" s="119" t="s">
        <v>5113</v>
      </c>
      <c r="J526" s="209" t="s">
        <v>4317</v>
      </c>
      <c r="K526" s="206"/>
      <c r="L526" s="249" t="str">
        <f t="shared" ca="1" si="26"/>
        <v>Armature purification drinking water</v>
      </c>
      <c r="M526" s="198"/>
      <c r="N526" s="203" t="s">
        <v>722</v>
      </c>
      <c r="O526" s="199" t="s">
        <v>724</v>
      </c>
      <c r="P526" s="191" t="s">
        <v>726</v>
      </c>
      <c r="Q526" s="203" t="s">
        <v>569</v>
      </c>
      <c r="R526" s="203" t="s">
        <v>571</v>
      </c>
      <c r="S526" s="203" t="s">
        <v>728</v>
      </c>
      <c r="T526" s="203"/>
      <c r="U526" s="198"/>
      <c r="V526" s="198"/>
      <c r="W526" s="198"/>
      <c r="X526" s="198"/>
      <c r="Y526" s="198"/>
      <c r="Z526" s="202" t="str">
        <f t="shared" si="0"/>
        <v>RLOM PipeFittings</v>
      </c>
      <c r="AA526" s="172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</row>
    <row r="527" spans="1:40" ht="24" customHeight="1">
      <c r="A527" s="190">
        <v>3</v>
      </c>
      <c r="B527" s="190" t="s">
        <v>538</v>
      </c>
      <c r="C527" s="190">
        <v>38</v>
      </c>
      <c r="D527" s="191" t="s">
        <v>3793</v>
      </c>
      <c r="E527" s="192">
        <v>381</v>
      </c>
      <c r="F527" s="192" t="s">
        <v>3794</v>
      </c>
      <c r="G527" s="191"/>
      <c r="H527" s="222" t="str">
        <f>HYPERLINK("http://bsdd.buildingsmart.org/#concept/details/0Wz3bf30D1J8ZEIFsnj2ot","0Wz3bf30D1J8ZEIFsnj2ot")</f>
        <v>0Wz3bf30D1J8ZEIFsnj2ot</v>
      </c>
      <c r="I527" s="122" t="s">
        <v>5114</v>
      </c>
      <c r="J527" s="195" t="s">
        <v>4318</v>
      </c>
      <c r="K527" s="191"/>
      <c r="L527" s="249" t="s">
        <v>4319</v>
      </c>
      <c r="M527" s="198"/>
      <c r="N527" s="203" t="s">
        <v>565</v>
      </c>
      <c r="O527" s="199" t="s">
        <v>566</v>
      </c>
      <c r="P527" s="191" t="s">
        <v>794</v>
      </c>
      <c r="Q527" s="203" t="s">
        <v>569</v>
      </c>
      <c r="R527" s="203" t="s">
        <v>571</v>
      </c>
      <c r="S527" s="203" t="s">
        <v>795</v>
      </c>
      <c r="T527" s="203" t="s">
        <v>796</v>
      </c>
      <c r="U527" s="198"/>
      <c r="V527" s="198"/>
      <c r="W527" s="198"/>
      <c r="X527" s="198"/>
      <c r="Y527" s="198"/>
      <c r="Z527" s="202" t="str">
        <f t="shared" si="0"/>
        <v>RLOM PipeFittings</v>
      </c>
      <c r="AA527" s="172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</row>
    <row r="528" spans="1:40" ht="21.75" customHeight="1">
      <c r="A528" s="190">
        <v>3</v>
      </c>
      <c r="B528" s="190" t="s">
        <v>538</v>
      </c>
      <c r="C528" s="190">
        <v>38</v>
      </c>
      <c r="D528" s="191" t="s">
        <v>3793</v>
      </c>
      <c r="E528" s="192">
        <v>381</v>
      </c>
      <c r="F528" s="192" t="s">
        <v>3794</v>
      </c>
      <c r="G528" s="191"/>
      <c r="H528" s="222" t="str">
        <f>HYPERLINK("http://bsdd.buildingsmart.org/#concept/details/304bKopWj9wg2uW1_HP7NP","304bKopWj9wg2uW1_HP7NP")</f>
        <v>304bKopWj9wg2uW1_HP7NP</v>
      </c>
      <c r="I528" s="119" t="s">
        <v>5115</v>
      </c>
      <c r="J528" s="209" t="s">
        <v>4320</v>
      </c>
      <c r="K528" s="206"/>
      <c r="L528" s="249" t="s">
        <v>4321</v>
      </c>
      <c r="M528" s="198"/>
      <c r="N528" s="203" t="s">
        <v>722</v>
      </c>
      <c r="O528" s="199" t="s">
        <v>724</v>
      </c>
      <c r="P528" s="191" t="s">
        <v>726</v>
      </c>
      <c r="Q528" s="203" t="s">
        <v>809</v>
      </c>
      <c r="R528" s="203" t="s">
        <v>810</v>
      </c>
      <c r="S528" s="203" t="s">
        <v>811</v>
      </c>
      <c r="T528" s="203"/>
      <c r="U528" s="198"/>
      <c r="V528" s="198"/>
      <c r="W528" s="198"/>
      <c r="X528" s="198"/>
      <c r="Y528" s="198"/>
      <c r="Z528" s="202" t="str">
        <f t="shared" si="0"/>
        <v>RLOM PipeSegments</v>
      </c>
      <c r="AA528" s="172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</row>
    <row r="529" spans="1:40" ht="24" customHeight="1">
      <c r="A529" s="190">
        <v>3</v>
      </c>
      <c r="B529" s="190" t="s">
        <v>538</v>
      </c>
      <c r="C529" s="190">
        <v>38</v>
      </c>
      <c r="D529" s="191" t="s">
        <v>3793</v>
      </c>
      <c r="E529" s="192">
        <v>381</v>
      </c>
      <c r="F529" s="192" t="s">
        <v>3794</v>
      </c>
      <c r="G529" s="191"/>
      <c r="H529" s="222" t="str">
        <f>HYPERLINK("http://bsdd.buildingsmart.org/#concept/details/3NmP33KJX5j8Oq7Ihlazy3","3NmP33KJX5j8Oq7Ihlazy3")</f>
        <v>3NmP33KJX5j8Oq7Ihlazy3</v>
      </c>
      <c r="I529" s="122" t="s">
        <v>5116</v>
      </c>
      <c r="J529" s="195" t="s">
        <v>4322</v>
      </c>
      <c r="K529" s="191"/>
      <c r="L529" s="249" t="s">
        <v>4323</v>
      </c>
      <c r="M529" s="198"/>
      <c r="N529" s="203" t="s">
        <v>565</v>
      </c>
      <c r="O529" s="199" t="s">
        <v>566</v>
      </c>
      <c r="P529" s="191" t="s">
        <v>794</v>
      </c>
      <c r="Q529" s="203" t="s">
        <v>569</v>
      </c>
      <c r="R529" s="203" t="s">
        <v>571</v>
      </c>
      <c r="S529" s="203" t="s">
        <v>795</v>
      </c>
      <c r="T529" s="203" t="s">
        <v>910</v>
      </c>
      <c r="U529" s="198"/>
      <c r="V529" s="198"/>
      <c r="W529" s="198"/>
      <c r="X529" s="198"/>
      <c r="Y529" s="198"/>
      <c r="Z529" s="202" t="str">
        <f t="shared" si="0"/>
        <v>RLOM PipeFittings</v>
      </c>
      <c r="AA529" s="172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</row>
    <row r="530" spans="1:40" ht="24" customHeight="1">
      <c r="A530" s="190">
        <v>3</v>
      </c>
      <c r="B530" s="190" t="s">
        <v>538</v>
      </c>
      <c r="C530" s="190">
        <v>38</v>
      </c>
      <c r="D530" s="191" t="s">
        <v>3793</v>
      </c>
      <c r="E530" s="192">
        <v>382</v>
      </c>
      <c r="F530" s="192" t="s">
        <v>3806</v>
      </c>
      <c r="G530" s="191"/>
      <c r="H530" s="222" t="str">
        <f>HYPERLINK("http://bsdd.buildingsmart.org/#concept/details/0bS84V5CbFtucapWzP1FNp","0bS84V5CbFtucapWzP1FNp")</f>
        <v>0bS84V5CbFtucapWzP1FNp</v>
      </c>
      <c r="I530" s="123" t="s">
        <v>5117</v>
      </c>
      <c r="J530" s="195" t="s">
        <v>4324</v>
      </c>
      <c r="K530" s="191"/>
      <c r="L530" s="249" t="s">
        <v>4325</v>
      </c>
      <c r="M530" s="198"/>
      <c r="N530" s="203"/>
      <c r="O530" s="203"/>
      <c r="P530" s="191"/>
      <c r="Q530" s="203" t="s">
        <v>986</v>
      </c>
      <c r="R530" s="203" t="s">
        <v>987</v>
      </c>
      <c r="S530" s="203" t="s">
        <v>1380</v>
      </c>
      <c r="T530" s="203"/>
      <c r="U530" s="198"/>
      <c r="V530" s="198"/>
      <c r="W530" s="198"/>
      <c r="X530" s="198"/>
      <c r="Y530" s="198"/>
      <c r="Z530" s="202" t="str">
        <f t="shared" si="0"/>
        <v>RLOM Valves</v>
      </c>
      <c r="AA530" s="172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</row>
    <row r="531" spans="1:40" ht="64.5" customHeight="1">
      <c r="A531" s="190">
        <v>3</v>
      </c>
      <c r="B531" s="190" t="s">
        <v>538</v>
      </c>
      <c r="C531" s="190">
        <v>38</v>
      </c>
      <c r="D531" s="191" t="s">
        <v>3793</v>
      </c>
      <c r="E531" s="192">
        <v>382</v>
      </c>
      <c r="F531" s="192" t="s">
        <v>3806</v>
      </c>
      <c r="G531" s="191"/>
      <c r="H531" s="222" t="str">
        <f>HYPERLINK("http://bsdd.buildingsmart.org/#concept/details/1HJx7yoO17URFlnqDLSDGl","1HJx7yoO17URFlnqDLSDGl")</f>
        <v>1HJx7yoO17URFlnqDLSDGl</v>
      </c>
      <c r="I531" s="123" t="s">
        <v>3808</v>
      </c>
      <c r="J531" s="195" t="s">
        <v>4326</v>
      </c>
      <c r="K531" s="191" t="s">
        <v>4327</v>
      </c>
      <c r="L531" s="249" t="s">
        <v>4328</v>
      </c>
      <c r="M531" s="198"/>
      <c r="N531" s="203" t="s">
        <v>3809</v>
      </c>
      <c r="O531" s="203" t="s">
        <v>3810</v>
      </c>
      <c r="P531" s="191" t="s">
        <v>3808</v>
      </c>
      <c r="Q531" s="203" t="s">
        <v>4329</v>
      </c>
      <c r="R531" s="203" t="s">
        <v>3812</v>
      </c>
      <c r="S531" s="198" t="s">
        <v>3813</v>
      </c>
      <c r="T531" s="203"/>
      <c r="U531" s="200"/>
      <c r="V531" s="200"/>
      <c r="W531" s="226" t="s">
        <v>3684</v>
      </c>
      <c r="X531" s="226" t="s">
        <v>4330</v>
      </c>
      <c r="Y531" s="226"/>
      <c r="Z531" s="202" t="str">
        <f t="shared" si="0"/>
        <v>RLOM Interceptors</v>
      </c>
      <c r="AA531" s="172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</row>
    <row r="532" spans="1:40" ht="64.5" customHeight="1">
      <c r="A532" s="190">
        <v>3</v>
      </c>
      <c r="B532" s="190" t="s">
        <v>538</v>
      </c>
      <c r="C532" s="190">
        <v>38</v>
      </c>
      <c r="D532" s="191" t="s">
        <v>3793</v>
      </c>
      <c r="E532" s="192">
        <v>382</v>
      </c>
      <c r="F532" s="192" t="s">
        <v>3806</v>
      </c>
      <c r="G532" s="191"/>
      <c r="H532" s="222" t="str">
        <f>HYPERLINK("http://bsdd.buildingsmart.org/#concept/details/1b2Lyppw90PxLiFWeumyJI","1b2Lyppw90PxLiFWeumyJI")</f>
        <v>1b2Lyppw90PxLiFWeumyJI</v>
      </c>
      <c r="I532" s="123" t="s">
        <v>3815</v>
      </c>
      <c r="J532" s="195" t="s">
        <v>4331</v>
      </c>
      <c r="K532" s="191"/>
      <c r="L532" s="249" t="s">
        <v>4332</v>
      </c>
      <c r="M532" s="198"/>
      <c r="N532" s="203" t="s">
        <v>3809</v>
      </c>
      <c r="O532" s="203" t="s">
        <v>3810</v>
      </c>
      <c r="P532" s="191" t="s">
        <v>3815</v>
      </c>
      <c r="Q532" s="203" t="s">
        <v>4329</v>
      </c>
      <c r="R532" s="203" t="s">
        <v>3812</v>
      </c>
      <c r="S532" s="198" t="s">
        <v>3816</v>
      </c>
      <c r="T532" s="203"/>
      <c r="U532" s="200"/>
      <c r="V532" s="200"/>
      <c r="W532" s="226" t="s">
        <v>3684</v>
      </c>
      <c r="X532" s="226" t="s">
        <v>4330</v>
      </c>
      <c r="Y532" s="226"/>
      <c r="Z532" s="202" t="str">
        <f t="shared" si="0"/>
        <v>RLOM Interceptors</v>
      </c>
      <c r="AA532" s="172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</row>
    <row r="533" spans="1:40" ht="64.5" customHeight="1">
      <c r="A533" s="190">
        <v>3</v>
      </c>
      <c r="B533" s="190" t="s">
        <v>538</v>
      </c>
      <c r="C533" s="190">
        <v>38</v>
      </c>
      <c r="D533" s="191" t="s">
        <v>3793</v>
      </c>
      <c r="E533" s="192">
        <v>382</v>
      </c>
      <c r="F533" s="192" t="s">
        <v>3806</v>
      </c>
      <c r="G533" s="191"/>
      <c r="H533" s="222" t="str">
        <f>HYPERLINK("http://bsdd.buildingsmart.org/#concept/details/2uRBeka$f7VO7wSjAZ84xB","2uRBeka$f7VO7wSjAZ84xB")</f>
        <v>2uRBeka$f7VO7wSjAZ84xB</v>
      </c>
      <c r="I533" s="123" t="s">
        <v>3817</v>
      </c>
      <c r="J533" s="195" t="s">
        <v>4333</v>
      </c>
      <c r="K533" s="191"/>
      <c r="L533" s="249" t="s">
        <v>4334</v>
      </c>
      <c r="M533" s="198"/>
      <c r="N533" s="203" t="s">
        <v>3809</v>
      </c>
      <c r="O533" s="203" t="s">
        <v>3810</v>
      </c>
      <c r="P533" s="191" t="s">
        <v>3817</v>
      </c>
      <c r="Q533" s="203" t="s">
        <v>4329</v>
      </c>
      <c r="R533" s="203" t="s">
        <v>3812</v>
      </c>
      <c r="S533" s="198" t="s">
        <v>3818</v>
      </c>
      <c r="T533" s="203"/>
      <c r="U533" s="200"/>
      <c r="V533" s="200"/>
      <c r="W533" s="226" t="s">
        <v>3684</v>
      </c>
      <c r="X533" s="226" t="s">
        <v>4330</v>
      </c>
      <c r="Y533" s="226"/>
      <c r="Z533" s="202" t="str">
        <f t="shared" si="0"/>
        <v>RLOM Interceptors</v>
      </c>
      <c r="AA533" s="172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</row>
    <row r="534" spans="1:40" ht="21.75" customHeight="1">
      <c r="A534" s="190">
        <v>3</v>
      </c>
      <c r="B534" s="190" t="s">
        <v>538</v>
      </c>
      <c r="C534" s="190">
        <v>38</v>
      </c>
      <c r="D534" s="191" t="s">
        <v>3793</v>
      </c>
      <c r="E534" s="192">
        <v>382</v>
      </c>
      <c r="F534" s="192" t="s">
        <v>3806</v>
      </c>
      <c r="G534" s="191"/>
      <c r="H534" s="222" t="str">
        <f>HYPERLINK("http://bsdd.buildingsmart.org/#concept/details/1yzUEuMPr9gAS4cEa_KNdX","1yzUEuMPr9gAS4cEa_KNdX")</f>
        <v>1yzUEuMPr9gAS4cEa_KNdX</v>
      </c>
      <c r="I534" s="122" t="s">
        <v>5118</v>
      </c>
      <c r="J534" s="195" t="s">
        <v>4335</v>
      </c>
      <c r="K534" s="191"/>
      <c r="L534" s="249" t="s">
        <v>4336</v>
      </c>
      <c r="M534" s="198"/>
      <c r="N534" s="203" t="s">
        <v>565</v>
      </c>
      <c r="O534" s="199" t="s">
        <v>566</v>
      </c>
      <c r="P534" s="191" t="s">
        <v>567</v>
      </c>
      <c r="Q534" s="203" t="s">
        <v>569</v>
      </c>
      <c r="R534" s="203" t="s">
        <v>571</v>
      </c>
      <c r="S534" s="203" t="s">
        <v>573</v>
      </c>
      <c r="T534" s="203"/>
      <c r="U534" s="198"/>
      <c r="V534" s="200"/>
      <c r="W534" s="226"/>
      <c r="X534" s="226"/>
      <c r="Y534" s="226"/>
      <c r="Z534" s="202" t="str">
        <f t="shared" si="0"/>
        <v>RLOM PipeFittings</v>
      </c>
      <c r="AA534" s="172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</row>
    <row r="535" spans="1:40" ht="24" customHeight="1">
      <c r="A535" s="190">
        <v>3</v>
      </c>
      <c r="B535" s="190" t="s">
        <v>538</v>
      </c>
      <c r="C535" s="190">
        <v>38</v>
      </c>
      <c r="D535" s="191" t="s">
        <v>3793</v>
      </c>
      <c r="E535" s="192">
        <v>382</v>
      </c>
      <c r="F535" s="192" t="s">
        <v>3806</v>
      </c>
      <c r="G535" s="191"/>
      <c r="H535" s="208" t="str">
        <f>HYPERLINK("http://bsdd.buildingsmart.org/#concept/details/2vx4H3AKf53OXnWuc08aYk","2vx4H3AKf53OXnWuc08aYk")</f>
        <v>2vx4H3AKf53OXnWuc08aYk</v>
      </c>
      <c r="I535" s="119" t="s">
        <v>5119</v>
      </c>
      <c r="J535" s="209" t="s">
        <v>4337</v>
      </c>
      <c r="K535" s="206"/>
      <c r="L535" s="249" t="s">
        <v>4338</v>
      </c>
      <c r="M535" s="198"/>
      <c r="N535" s="203" t="s">
        <v>722</v>
      </c>
      <c r="O535" s="199" t="s">
        <v>724</v>
      </c>
      <c r="P535" s="191" t="s">
        <v>726</v>
      </c>
      <c r="Q535" s="203" t="s">
        <v>569</v>
      </c>
      <c r="R535" s="203" t="s">
        <v>571</v>
      </c>
      <c r="S535" s="203" t="s">
        <v>728</v>
      </c>
      <c r="T535" s="203"/>
      <c r="U535" s="198"/>
      <c r="V535" s="200"/>
      <c r="W535" s="226"/>
      <c r="X535" s="226"/>
      <c r="Y535" s="226"/>
      <c r="Z535" s="202" t="str">
        <f t="shared" si="0"/>
        <v>RLOM PipeFittings</v>
      </c>
      <c r="AA535" s="172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</row>
    <row r="536" spans="1:40" ht="24" customHeight="1">
      <c r="A536" s="190">
        <v>3</v>
      </c>
      <c r="B536" s="190" t="s">
        <v>538</v>
      </c>
      <c r="C536" s="190">
        <v>38</v>
      </c>
      <c r="D536" s="191" t="s">
        <v>3793</v>
      </c>
      <c r="E536" s="192">
        <v>382</v>
      </c>
      <c r="F536" s="192" t="s">
        <v>3806</v>
      </c>
      <c r="G536" s="191"/>
      <c r="H536" s="222" t="str">
        <f>HYPERLINK("http://bsdd.buildingsmart.org/#concept/details/2irEHLn1L9qAJN3v3rEgJX","2irEHLn1L9qAJN3v3rEgJX")</f>
        <v>2irEHLn1L9qAJN3v3rEgJX</v>
      </c>
      <c r="I536" s="122" t="s">
        <v>5120</v>
      </c>
      <c r="J536" s="195" t="s">
        <v>4339</v>
      </c>
      <c r="K536" s="191"/>
      <c r="L536" s="249" t="s">
        <v>4340</v>
      </c>
      <c r="M536" s="198"/>
      <c r="N536" s="203" t="s">
        <v>565</v>
      </c>
      <c r="O536" s="199" t="s">
        <v>566</v>
      </c>
      <c r="P536" s="191" t="s">
        <v>794</v>
      </c>
      <c r="Q536" s="203" t="s">
        <v>569</v>
      </c>
      <c r="R536" s="203" t="s">
        <v>571</v>
      </c>
      <c r="S536" s="203" t="s">
        <v>795</v>
      </c>
      <c r="T536" s="203" t="s">
        <v>796</v>
      </c>
      <c r="U536" s="198"/>
      <c r="V536" s="200"/>
      <c r="W536" s="226"/>
      <c r="X536" s="226"/>
      <c r="Y536" s="226"/>
      <c r="Z536" s="202" t="str">
        <f t="shared" si="0"/>
        <v>RLOM PipeFittings</v>
      </c>
      <c r="AA536" s="172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</row>
    <row r="537" spans="1:40" ht="21.75" customHeight="1">
      <c r="A537" s="190">
        <v>3</v>
      </c>
      <c r="B537" s="190" t="s">
        <v>538</v>
      </c>
      <c r="C537" s="190">
        <v>38</v>
      </c>
      <c r="D537" s="191" t="s">
        <v>3793</v>
      </c>
      <c r="E537" s="192">
        <v>382</v>
      </c>
      <c r="F537" s="192" t="s">
        <v>3806</v>
      </c>
      <c r="G537" s="191"/>
      <c r="H537" s="222" t="str">
        <f>HYPERLINK("http://bsdd.buildingsmart.org/#concept/details/3n433jeGnDahiAFYFkxud7","3n433jeGnDahiAFYFkxud7")</f>
        <v>3n433jeGnDahiAFYFkxud7</v>
      </c>
      <c r="I537" s="119" t="s">
        <v>5121</v>
      </c>
      <c r="J537" s="209" t="s">
        <v>4341</v>
      </c>
      <c r="K537" s="206"/>
      <c r="L537" s="249" t="s">
        <v>4342</v>
      </c>
      <c r="M537" s="198"/>
      <c r="N537" s="203" t="s">
        <v>722</v>
      </c>
      <c r="O537" s="199" t="s">
        <v>724</v>
      </c>
      <c r="P537" s="191" t="s">
        <v>726</v>
      </c>
      <c r="Q537" s="203" t="s">
        <v>809</v>
      </c>
      <c r="R537" s="203" t="s">
        <v>810</v>
      </c>
      <c r="S537" s="203" t="s">
        <v>811</v>
      </c>
      <c r="T537" s="203"/>
      <c r="U537" s="198"/>
      <c r="V537" s="200"/>
      <c r="W537" s="226"/>
      <c r="X537" s="226"/>
      <c r="Y537" s="226"/>
      <c r="Z537" s="202" t="str">
        <f t="shared" si="0"/>
        <v>RLOM PipeSegments</v>
      </c>
      <c r="AA537" s="172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</row>
    <row r="538" spans="1:40" ht="24" customHeight="1">
      <c r="A538" s="190">
        <v>3</v>
      </c>
      <c r="B538" s="190" t="s">
        <v>538</v>
      </c>
      <c r="C538" s="190">
        <v>38</v>
      </c>
      <c r="D538" s="191" t="s">
        <v>3793</v>
      </c>
      <c r="E538" s="192">
        <v>382</v>
      </c>
      <c r="F538" s="192" t="s">
        <v>3806</v>
      </c>
      <c r="G538" s="191"/>
      <c r="H538" s="222" t="str">
        <f>HYPERLINK("http://bsdd.buildingsmart.org/#concept/details/1RkhRQamn7_hdvcOijoMQc","1RkhRQamn7_hdvcOijoMQc")</f>
        <v>1RkhRQamn7_hdvcOijoMQc</v>
      </c>
      <c r="I538" s="122" t="s">
        <v>5122</v>
      </c>
      <c r="J538" s="195" t="s">
        <v>4343</v>
      </c>
      <c r="K538" s="191"/>
      <c r="L538" s="249" t="s">
        <v>4344</v>
      </c>
      <c r="M538" s="198"/>
      <c r="N538" s="203" t="s">
        <v>565</v>
      </c>
      <c r="O538" s="199" t="s">
        <v>566</v>
      </c>
      <c r="P538" s="191" t="s">
        <v>794</v>
      </c>
      <c r="Q538" s="203" t="s">
        <v>569</v>
      </c>
      <c r="R538" s="203" t="s">
        <v>571</v>
      </c>
      <c r="S538" s="203" t="s">
        <v>795</v>
      </c>
      <c r="T538" s="203" t="s">
        <v>910</v>
      </c>
      <c r="U538" s="198"/>
      <c r="V538" s="200"/>
      <c r="W538" s="226"/>
      <c r="X538" s="226"/>
      <c r="Y538" s="226"/>
      <c r="Z538" s="202" t="str">
        <f t="shared" si="0"/>
        <v>RLOM PipeFittings</v>
      </c>
      <c r="AA538" s="172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</row>
    <row r="539" spans="1:40" ht="64.5" customHeight="1">
      <c r="A539" s="190">
        <v>3</v>
      </c>
      <c r="B539" s="190" t="s">
        <v>538</v>
      </c>
      <c r="C539" s="190">
        <v>38</v>
      </c>
      <c r="D539" s="191" t="s">
        <v>3793</v>
      </c>
      <c r="E539" s="192">
        <v>382</v>
      </c>
      <c r="F539" s="192" t="s">
        <v>3806</v>
      </c>
      <c r="G539" s="191"/>
      <c r="H539" s="222" t="str">
        <f>HYPERLINK("http://bsdd.buildingsmart.org/#concept/details/2bGEyPLh1BKxnsXKYqDjKV","2bGEyPLh1BKxnsXKYqDjKV")</f>
        <v>2bGEyPLh1BKxnsXKYqDjKV</v>
      </c>
      <c r="I539" s="123" t="s">
        <v>3827</v>
      </c>
      <c r="J539" s="195" t="s">
        <v>4345</v>
      </c>
      <c r="K539" s="191"/>
      <c r="L539" s="249" t="s">
        <v>4346</v>
      </c>
      <c r="M539" s="198"/>
      <c r="N539" s="203" t="s">
        <v>3828</v>
      </c>
      <c r="O539" s="203" t="s">
        <v>3827</v>
      </c>
      <c r="P539" s="191" t="s">
        <v>3829</v>
      </c>
      <c r="Q539" s="203" t="s">
        <v>4329</v>
      </c>
      <c r="R539" s="203" t="s">
        <v>3812</v>
      </c>
      <c r="S539" s="198" t="s">
        <v>3830</v>
      </c>
      <c r="T539" s="203"/>
      <c r="U539" s="200"/>
      <c r="V539" s="200"/>
      <c r="W539" s="226" t="s">
        <v>3684</v>
      </c>
      <c r="X539" s="226" t="s">
        <v>4330</v>
      </c>
      <c r="Y539" s="226"/>
      <c r="Z539" s="202" t="str">
        <f t="shared" si="0"/>
        <v>RLOM Interceptors</v>
      </c>
      <c r="AA539" s="172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</row>
    <row r="540" spans="1:40" ht="33" customHeight="1">
      <c r="A540" s="190">
        <v>3</v>
      </c>
      <c r="B540" s="190" t="s">
        <v>538</v>
      </c>
      <c r="C540" s="190">
        <v>38</v>
      </c>
      <c r="D540" s="191" t="s">
        <v>3793</v>
      </c>
      <c r="E540" s="192">
        <v>383</v>
      </c>
      <c r="F540" s="192" t="s">
        <v>3831</v>
      </c>
      <c r="G540" s="191"/>
      <c r="H540" s="222" t="str">
        <f>HYPERLINK("http://bsdd.buildingsmart.org/#concept/details/2$Ck5zlFvFgfqc9Vu0lVo5","2$Ck5zlFvFgfqc9Vu0lVo5")</f>
        <v>2$Ck5zlFvFgfqc9Vu0lVo5</v>
      </c>
      <c r="I540" s="123" t="s">
        <v>5123</v>
      </c>
      <c r="J540" s="195" t="s">
        <v>4347</v>
      </c>
      <c r="K540" s="191"/>
      <c r="L540" s="249" t="s">
        <v>4348</v>
      </c>
      <c r="M540" s="198"/>
      <c r="N540" s="203"/>
      <c r="O540" s="203"/>
      <c r="P540" s="191"/>
      <c r="Q540" s="203" t="s">
        <v>986</v>
      </c>
      <c r="R540" s="203" t="s">
        <v>987</v>
      </c>
      <c r="S540" s="203" t="s">
        <v>1380</v>
      </c>
      <c r="T540" s="203"/>
      <c r="U540" s="198"/>
      <c r="V540" s="198"/>
      <c r="W540" s="198"/>
      <c r="X540" s="198"/>
      <c r="Y540" s="198"/>
      <c r="Z540" s="202" t="str">
        <f t="shared" si="0"/>
        <v>RLOM Valves</v>
      </c>
      <c r="AA540" s="172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</row>
    <row r="541" spans="1:40" ht="33" customHeight="1">
      <c r="A541" s="190">
        <v>3</v>
      </c>
      <c r="B541" s="190" t="s">
        <v>538</v>
      </c>
      <c r="C541" s="190">
        <v>38</v>
      </c>
      <c r="D541" s="191" t="s">
        <v>3793</v>
      </c>
      <c r="E541" s="192">
        <v>383</v>
      </c>
      <c r="F541" s="192" t="s">
        <v>3831</v>
      </c>
      <c r="G541" s="191"/>
      <c r="H541" s="222" t="str">
        <f>HYPERLINK("http://bsdd.buildingsmart.org/#concept/details/3di5G3dAf8BfGbfxedjxWt","3di5G3dAf8BfGbfxedjxWt")</f>
        <v>3di5G3dAf8BfGbfxedjxWt</v>
      </c>
      <c r="I541" s="122" t="s">
        <v>5124</v>
      </c>
      <c r="J541" s="195" t="s">
        <v>4349</v>
      </c>
      <c r="K541" s="191"/>
      <c r="L541" s="249" t="s">
        <v>4350</v>
      </c>
      <c r="M541" s="198"/>
      <c r="N541" s="203" t="s">
        <v>565</v>
      </c>
      <c r="O541" s="199" t="s">
        <v>566</v>
      </c>
      <c r="P541" s="191" t="s">
        <v>567</v>
      </c>
      <c r="Q541" s="203" t="s">
        <v>569</v>
      </c>
      <c r="R541" s="203" t="s">
        <v>571</v>
      </c>
      <c r="S541" s="203" t="s">
        <v>573</v>
      </c>
      <c r="T541" s="203"/>
      <c r="U541" s="198"/>
      <c r="V541" s="198"/>
      <c r="W541" s="198"/>
      <c r="X541" s="198"/>
      <c r="Y541" s="198"/>
      <c r="Z541" s="202" t="str">
        <f t="shared" si="0"/>
        <v>RLOM PipeFittings</v>
      </c>
      <c r="AA541" s="172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</row>
    <row r="542" spans="1:40" ht="33" customHeight="1">
      <c r="A542" s="190">
        <v>3</v>
      </c>
      <c r="B542" s="190" t="s">
        <v>538</v>
      </c>
      <c r="C542" s="190">
        <v>38</v>
      </c>
      <c r="D542" s="191" t="s">
        <v>3793</v>
      </c>
      <c r="E542" s="192">
        <v>383</v>
      </c>
      <c r="F542" s="192" t="s">
        <v>3831</v>
      </c>
      <c r="G542" s="191"/>
      <c r="H542" s="208" t="str">
        <f>HYPERLINK("http://bsdd.buildingsmart.org/#concept/details/2yM_W9inX6ww75708T9Sup","2yM_W9inX6ww75708T9Sup")</f>
        <v>2yM_W9inX6ww75708T9Sup</v>
      </c>
      <c r="I542" s="119" t="s">
        <v>5125</v>
      </c>
      <c r="J542" s="209" t="s">
        <v>4351</v>
      </c>
      <c r="K542" s="206"/>
      <c r="L542" s="249" t="s">
        <v>4352</v>
      </c>
      <c r="M542" s="198"/>
      <c r="N542" s="203" t="s">
        <v>722</v>
      </c>
      <c r="O542" s="199" t="s">
        <v>724</v>
      </c>
      <c r="P542" s="191" t="s">
        <v>726</v>
      </c>
      <c r="Q542" s="203" t="s">
        <v>569</v>
      </c>
      <c r="R542" s="203" t="s">
        <v>571</v>
      </c>
      <c r="S542" s="203" t="s">
        <v>728</v>
      </c>
      <c r="T542" s="203"/>
      <c r="U542" s="198"/>
      <c r="V542" s="198"/>
      <c r="W542" s="198"/>
      <c r="X542" s="198"/>
      <c r="Y542" s="198"/>
      <c r="Z542" s="202" t="str">
        <f t="shared" si="0"/>
        <v>RLOM PipeFittings</v>
      </c>
      <c r="AA542" s="172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</row>
    <row r="543" spans="1:40" ht="33" customHeight="1">
      <c r="A543" s="190">
        <v>3</v>
      </c>
      <c r="B543" s="190" t="s">
        <v>538</v>
      </c>
      <c r="C543" s="190">
        <v>38</v>
      </c>
      <c r="D543" s="191" t="s">
        <v>3793</v>
      </c>
      <c r="E543" s="192">
        <v>383</v>
      </c>
      <c r="F543" s="192" t="s">
        <v>3831</v>
      </c>
      <c r="G543" s="191"/>
      <c r="H543" s="222" t="str">
        <f>HYPERLINK("http://bsdd.buildingsmart.org/#concept/details/0WwSFY_pv4DRJhMgGycDPH","0WwSFY_pv4DRJhMgGycDPH")</f>
        <v>0WwSFY_pv4DRJhMgGycDPH</v>
      </c>
      <c r="I543" s="122" t="s">
        <v>5126</v>
      </c>
      <c r="J543" s="195" t="s">
        <v>4353</v>
      </c>
      <c r="K543" s="191"/>
      <c r="L543" s="249" t="s">
        <v>4354</v>
      </c>
      <c r="M543" s="198"/>
      <c r="N543" s="203" t="s">
        <v>565</v>
      </c>
      <c r="O543" s="199" t="s">
        <v>566</v>
      </c>
      <c r="P543" s="191" t="s">
        <v>794</v>
      </c>
      <c r="Q543" s="203" t="s">
        <v>569</v>
      </c>
      <c r="R543" s="203" t="s">
        <v>571</v>
      </c>
      <c r="S543" s="203" t="s">
        <v>795</v>
      </c>
      <c r="T543" s="203" t="s">
        <v>796</v>
      </c>
      <c r="U543" s="198"/>
      <c r="V543" s="198"/>
      <c r="W543" s="198"/>
      <c r="X543" s="198"/>
      <c r="Y543" s="198"/>
      <c r="Z543" s="202" t="str">
        <f t="shared" si="0"/>
        <v>RLOM PipeFittings</v>
      </c>
      <c r="AA543" s="172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</row>
    <row r="544" spans="1:40" ht="33" customHeight="1">
      <c r="A544" s="190">
        <v>3</v>
      </c>
      <c r="B544" s="190" t="s">
        <v>538</v>
      </c>
      <c r="C544" s="190">
        <v>38</v>
      </c>
      <c r="D544" s="191" t="s">
        <v>3793</v>
      </c>
      <c r="E544" s="192">
        <v>383</v>
      </c>
      <c r="F544" s="192" t="s">
        <v>3831</v>
      </c>
      <c r="G544" s="191"/>
      <c r="H544" s="222" t="str">
        <f>HYPERLINK("http://bsdd.buildingsmart.org/#concept/details/2YspRtqfTEkA4dmve3I9G7","2YspRtqfTEkA4dmve3I9G7")</f>
        <v>2YspRtqfTEkA4dmve3I9G7</v>
      </c>
      <c r="I544" s="119" t="s">
        <v>5127</v>
      </c>
      <c r="J544" s="209" t="s">
        <v>4355</v>
      </c>
      <c r="K544" s="206"/>
      <c r="L544" s="249" t="s">
        <v>4356</v>
      </c>
      <c r="M544" s="198"/>
      <c r="N544" s="203" t="s">
        <v>722</v>
      </c>
      <c r="O544" s="199" t="s">
        <v>724</v>
      </c>
      <c r="P544" s="191" t="s">
        <v>726</v>
      </c>
      <c r="Q544" s="203" t="s">
        <v>809</v>
      </c>
      <c r="R544" s="203" t="s">
        <v>810</v>
      </c>
      <c r="S544" s="203" t="s">
        <v>811</v>
      </c>
      <c r="T544" s="203"/>
      <c r="U544" s="198"/>
      <c r="V544" s="198"/>
      <c r="W544" s="198"/>
      <c r="X544" s="198"/>
      <c r="Y544" s="198"/>
      <c r="Z544" s="202" t="str">
        <f t="shared" si="0"/>
        <v>RLOM PipeSegments</v>
      </c>
      <c r="AA544" s="172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</row>
    <row r="545" spans="1:40" ht="33" customHeight="1">
      <c r="A545" s="190">
        <v>3</v>
      </c>
      <c r="B545" s="190" t="s">
        <v>538</v>
      </c>
      <c r="C545" s="190">
        <v>38</v>
      </c>
      <c r="D545" s="191" t="s">
        <v>3793</v>
      </c>
      <c r="E545" s="192">
        <v>383</v>
      </c>
      <c r="F545" s="192" t="s">
        <v>3831</v>
      </c>
      <c r="G545" s="191"/>
      <c r="H545" s="222" t="str">
        <f>HYPERLINK("http://bsdd.buildingsmart.org/#concept/details/0ENVMXsr5C2vjYdPsGDf45","0ENVMXsr5C2vjYdPsGDf45")</f>
        <v>0ENVMXsr5C2vjYdPsGDf45</v>
      </c>
      <c r="I545" s="122" t="s">
        <v>5128</v>
      </c>
      <c r="J545" s="195" t="s">
        <v>4357</v>
      </c>
      <c r="K545" s="191"/>
      <c r="L545" s="249" t="s">
        <v>4358</v>
      </c>
      <c r="M545" s="198"/>
      <c r="N545" s="203" t="s">
        <v>565</v>
      </c>
      <c r="O545" s="199" t="s">
        <v>566</v>
      </c>
      <c r="P545" s="191" t="s">
        <v>794</v>
      </c>
      <c r="Q545" s="203" t="s">
        <v>569</v>
      </c>
      <c r="R545" s="203" t="s">
        <v>571</v>
      </c>
      <c r="S545" s="203" t="s">
        <v>795</v>
      </c>
      <c r="T545" s="203" t="s">
        <v>910</v>
      </c>
      <c r="U545" s="198"/>
      <c r="V545" s="198"/>
      <c r="W545" s="198"/>
      <c r="X545" s="198"/>
      <c r="Y545" s="198"/>
      <c r="Z545" s="202" t="str">
        <f t="shared" si="0"/>
        <v>RLOM PipeFittings</v>
      </c>
      <c r="AA545" s="172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</row>
    <row r="546" spans="1:40" ht="21.75" customHeight="1">
      <c r="A546" s="190">
        <v>3</v>
      </c>
      <c r="B546" s="190" t="s">
        <v>538</v>
      </c>
      <c r="C546" s="190">
        <v>38</v>
      </c>
      <c r="D546" s="191" t="s">
        <v>3793</v>
      </c>
      <c r="E546" s="192">
        <v>389</v>
      </c>
      <c r="F546" s="192" t="s">
        <v>3793</v>
      </c>
      <c r="G546" s="193"/>
      <c r="H546" s="208" t="str">
        <f>HYPERLINK("http://bsdd.buildingsmart.org/#concept/details/09q7A4KsnE0QjJ82lyqTpx","09q7A4KsnE0QjJ82lyqTpx")</f>
        <v>09q7A4KsnE0QjJ82lyqTpx</v>
      </c>
      <c r="I546" s="119" t="s">
        <v>2489</v>
      </c>
      <c r="J546" s="209" t="s">
        <v>4359</v>
      </c>
      <c r="K546" s="206" t="s">
        <v>3841</v>
      </c>
      <c r="L546" s="249" t="s">
        <v>4360</v>
      </c>
      <c r="M546" s="198"/>
      <c r="N546" s="203" t="s">
        <v>2490</v>
      </c>
      <c r="O546" s="203" t="s">
        <v>2493</v>
      </c>
      <c r="P546" s="191" t="s">
        <v>2495</v>
      </c>
      <c r="Q546" s="203" t="s">
        <v>4275</v>
      </c>
      <c r="R546" s="203" t="s">
        <v>3988</v>
      </c>
      <c r="S546" s="203" t="s">
        <v>2500</v>
      </c>
      <c r="T546" s="203" t="s">
        <v>2501</v>
      </c>
      <c r="U546" s="198"/>
      <c r="V546" s="198"/>
      <c r="W546" s="198"/>
      <c r="X546" s="198"/>
      <c r="Y546" s="198"/>
      <c r="Z546" s="202" t="str">
        <f t="shared" si="0"/>
        <v>RLOM Filters</v>
      </c>
      <c r="AA546" s="172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</row>
    <row r="547" spans="1:40" ht="21.75" customHeight="1">
      <c r="A547" s="190">
        <v>3</v>
      </c>
      <c r="B547" s="190" t="s">
        <v>538</v>
      </c>
      <c r="C547" s="190">
        <v>38</v>
      </c>
      <c r="D547" s="191" t="s">
        <v>3793</v>
      </c>
      <c r="E547" s="192">
        <v>389</v>
      </c>
      <c r="F547" s="192" t="s">
        <v>3793</v>
      </c>
      <c r="G547" s="193"/>
      <c r="H547" s="208" t="str">
        <f>HYPERLINK("http://bsdd.buildingsmart.org/#concept/details/3H5rHPOub3B881kW7b9l_i","3H5rHPOub3B881kW7b9l_i")</f>
        <v>3H5rHPOub3B881kW7b9l_i</v>
      </c>
      <c r="I547" s="119" t="s">
        <v>3843</v>
      </c>
      <c r="J547" s="209" t="s">
        <v>4361</v>
      </c>
      <c r="K547" s="206" t="s">
        <v>3844</v>
      </c>
      <c r="L547" s="249" t="s">
        <v>4362</v>
      </c>
      <c r="M547" s="198"/>
      <c r="N547" s="203" t="s">
        <v>3845</v>
      </c>
      <c r="O547" s="203" t="s">
        <v>3846</v>
      </c>
      <c r="P547" s="191" t="s">
        <v>3847</v>
      </c>
      <c r="Q547" s="203" t="s">
        <v>4275</v>
      </c>
      <c r="R547" s="203" t="s">
        <v>3988</v>
      </c>
      <c r="S547" s="203" t="s">
        <v>2500</v>
      </c>
      <c r="T547" s="203"/>
      <c r="U547" s="198"/>
      <c r="V547" s="198"/>
      <c r="W547" s="198"/>
      <c r="X547" s="198"/>
      <c r="Y547" s="198"/>
      <c r="Z547" s="202" t="str">
        <f t="shared" si="0"/>
        <v>RLOM Filters</v>
      </c>
      <c r="AA547" s="172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</row>
    <row r="548" spans="1:40" ht="21.75" customHeight="1">
      <c r="A548" s="190">
        <v>3</v>
      </c>
      <c r="B548" s="190" t="s">
        <v>538</v>
      </c>
      <c r="C548" s="190">
        <v>38</v>
      </c>
      <c r="D548" s="191" t="s">
        <v>3793</v>
      </c>
      <c r="E548" s="192">
        <v>389</v>
      </c>
      <c r="F548" s="192" t="s">
        <v>3793</v>
      </c>
      <c r="G548" s="193"/>
      <c r="H548" s="208" t="str">
        <f>HYPERLINK("http://bsdd.buildingsmart.org/#concept/details/2wIoGLo0H28RI5fydZg$th","2wIoGLo0H28RI5fydZg$th")</f>
        <v>2wIoGLo0H28RI5fydZg$th</v>
      </c>
      <c r="I548" s="119" t="s">
        <v>3849</v>
      </c>
      <c r="J548" s="209" t="s">
        <v>4363</v>
      </c>
      <c r="K548" s="206"/>
      <c r="L548" s="249" t="s">
        <v>4364</v>
      </c>
      <c r="M548" s="198"/>
      <c r="N548" s="203" t="s">
        <v>3671</v>
      </c>
      <c r="O548" s="203" t="s">
        <v>3672</v>
      </c>
      <c r="P548" s="191" t="s">
        <v>3850</v>
      </c>
      <c r="Q548" s="203" t="s">
        <v>4275</v>
      </c>
      <c r="R548" s="203" t="s">
        <v>2499</v>
      </c>
      <c r="S548" s="203" t="s">
        <v>2500</v>
      </c>
      <c r="T548" s="203" t="s">
        <v>3851</v>
      </c>
      <c r="U548" s="198"/>
      <c r="V548" s="198"/>
      <c r="W548" s="198"/>
      <c r="X548" s="198"/>
      <c r="Y548" s="198"/>
      <c r="Z548" s="202" t="str">
        <f t="shared" si="0"/>
        <v>RLOM Filters</v>
      </c>
      <c r="AA548" s="172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</row>
    <row r="549" spans="1:40" ht="21.75" customHeight="1">
      <c r="A549" s="190">
        <v>3</v>
      </c>
      <c r="B549" s="190" t="s">
        <v>538</v>
      </c>
      <c r="C549" s="190">
        <v>38</v>
      </c>
      <c r="D549" s="191" t="s">
        <v>3793</v>
      </c>
      <c r="E549" s="192">
        <v>389</v>
      </c>
      <c r="F549" s="192" t="s">
        <v>3793</v>
      </c>
      <c r="G549" s="193"/>
      <c r="H549" s="208" t="str">
        <f>HYPERLINK("http://bsdd.buildingsmart.org/#concept/details/2iDKdzebD4FQD3lTzSPGI6","2iDKdzebD4FQD3lTzSPGI6")</f>
        <v>2iDKdzebD4FQD3lTzSPGI6</v>
      </c>
      <c r="I549" s="119" t="s">
        <v>5129</v>
      </c>
      <c r="J549" s="209" t="s">
        <v>4365</v>
      </c>
      <c r="K549" s="206"/>
      <c r="L549" s="249" t="s">
        <v>4366</v>
      </c>
      <c r="M549" s="198"/>
      <c r="N549" s="203" t="s">
        <v>3671</v>
      </c>
      <c r="O549" s="203" t="s">
        <v>3672</v>
      </c>
      <c r="P549" s="191" t="s">
        <v>3850</v>
      </c>
      <c r="Q549" s="203" t="s">
        <v>4275</v>
      </c>
      <c r="R549" s="203" t="s">
        <v>2499</v>
      </c>
      <c r="S549" s="203" t="s">
        <v>2500</v>
      </c>
      <c r="T549" s="203" t="s">
        <v>3851</v>
      </c>
      <c r="U549" s="198"/>
      <c r="V549" s="198"/>
      <c r="W549" s="198"/>
      <c r="X549" s="198"/>
      <c r="Y549" s="198"/>
      <c r="Z549" s="202" t="str">
        <f t="shared" si="0"/>
        <v>RLOM Filters</v>
      </c>
      <c r="AA549" s="172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</row>
    <row r="550" spans="1:40" ht="27" customHeight="1">
      <c r="A550" s="190">
        <v>4</v>
      </c>
      <c r="B550" s="190" t="s">
        <v>363</v>
      </c>
      <c r="C550" s="190">
        <v>40</v>
      </c>
      <c r="D550" s="191" t="s">
        <v>374</v>
      </c>
      <c r="E550" s="237">
        <v>400</v>
      </c>
      <c r="F550" s="193" t="s">
        <v>434</v>
      </c>
      <c r="G550" s="193" t="s">
        <v>454</v>
      </c>
      <c r="H550" s="212" t="str">
        <f>HYPERLINK("http://bsdd.buildingsmart.org/#concept/details/3f2m1YuEb6lv2BGHgQUJ2I","3f2m1YuEb6lv2BGHgQUJ2I")</f>
        <v>3f2m1YuEb6lv2BGHgQUJ2I</v>
      </c>
      <c r="I550" s="123" t="s">
        <v>456</v>
      </c>
      <c r="J550" s="195" t="s">
        <v>4367</v>
      </c>
      <c r="K550" s="191" t="s">
        <v>463</v>
      </c>
      <c r="L550" s="248" t="s">
        <v>4368</v>
      </c>
      <c r="M550" s="210"/>
      <c r="N550" s="203" t="s">
        <v>489</v>
      </c>
      <c r="O550" s="203" t="s">
        <v>509</v>
      </c>
      <c r="P550" s="191" t="s">
        <v>510</v>
      </c>
      <c r="Q550" s="192" t="s">
        <v>511</v>
      </c>
      <c r="R550" s="192" t="s">
        <v>512</v>
      </c>
      <c r="S550" s="206" t="s">
        <v>513</v>
      </c>
      <c r="T550" s="199"/>
      <c r="U550" s="200"/>
      <c r="V550" s="201"/>
      <c r="W550" s="201"/>
      <c r="X550" s="201"/>
      <c r="Y550" s="201"/>
      <c r="Z550" s="202" t="str">
        <f t="shared" si="0"/>
        <v>RLOM ProtectiveDevices</v>
      </c>
      <c r="AA550" s="172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</row>
    <row r="551" spans="1:40" ht="18" customHeight="1">
      <c r="A551" s="190">
        <v>4</v>
      </c>
      <c r="B551" s="190" t="s">
        <v>363</v>
      </c>
      <c r="C551" s="190">
        <v>40</v>
      </c>
      <c r="D551" s="191" t="s">
        <v>374</v>
      </c>
      <c r="E551" s="237">
        <v>400</v>
      </c>
      <c r="F551" s="193" t="s">
        <v>434</v>
      </c>
      <c r="G551" s="193" t="s">
        <v>454</v>
      </c>
      <c r="H551" s="212" t="str">
        <f>HYPERLINK("http://bsdd.buildingsmart.org/#concept/details/0sPfk08dyHu000025QrE$V","0sPfk08dyHu000025QrE$V")</f>
        <v>0sPfk08dyHu000025QrE$V</v>
      </c>
      <c r="I551" s="123" t="s">
        <v>526</v>
      </c>
      <c r="J551" s="195" t="s">
        <v>4369</v>
      </c>
      <c r="K551" s="191" t="s">
        <v>527</v>
      </c>
      <c r="L551" s="248" t="s">
        <v>4370</v>
      </c>
      <c r="M551" s="210"/>
      <c r="N551" s="203" t="s">
        <v>529</v>
      </c>
      <c r="O551" s="203" t="s">
        <v>526</v>
      </c>
      <c r="P551" s="191" t="s">
        <v>531</v>
      </c>
      <c r="Q551" s="192" t="s">
        <v>511</v>
      </c>
      <c r="R551" s="192" t="s">
        <v>512</v>
      </c>
      <c r="S551" s="206" t="s">
        <v>532</v>
      </c>
      <c r="T551" s="199"/>
      <c r="U551" s="200"/>
      <c r="V551" s="201"/>
      <c r="W551" s="201"/>
      <c r="X551" s="201"/>
      <c r="Y551" s="201"/>
      <c r="Z551" s="202" t="str">
        <f t="shared" si="0"/>
        <v>RLOM ProtectiveDevices</v>
      </c>
      <c r="AA551" s="172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</row>
    <row r="552" spans="1:40" ht="63" customHeight="1">
      <c r="A552" s="190">
        <v>4</v>
      </c>
      <c r="B552" s="190" t="s">
        <v>363</v>
      </c>
      <c r="C552" s="190">
        <v>40</v>
      </c>
      <c r="D552" s="191" t="s">
        <v>374</v>
      </c>
      <c r="E552" s="237">
        <v>400</v>
      </c>
      <c r="F552" s="193" t="s">
        <v>434</v>
      </c>
      <c r="G552" s="193" t="s">
        <v>454</v>
      </c>
      <c r="H552" s="212" t="str">
        <f>HYPERLINK("http://bsdd.buildingsmart.org/#concept/details/3e2_c03IrEkBipjZGSXWZk","3e2_c03IrEkBipjZGSXWZk")</f>
        <v>3e2_c03IrEkBipjZGSXWZk</v>
      </c>
      <c r="I552" s="123" t="s">
        <v>554</v>
      </c>
      <c r="J552" s="195" t="s">
        <v>4371</v>
      </c>
      <c r="K552" s="191" t="s">
        <v>555</v>
      </c>
      <c r="L552" s="248" t="s">
        <v>4372</v>
      </c>
      <c r="M552" s="210"/>
      <c r="N552" s="203" t="s">
        <v>557</v>
      </c>
      <c r="O552" s="203" t="s">
        <v>454</v>
      </c>
      <c r="P552" s="191" t="s">
        <v>558</v>
      </c>
      <c r="Q552" s="192" t="s">
        <v>559</v>
      </c>
      <c r="R552" s="192"/>
      <c r="S552" s="206"/>
      <c r="T552" s="199"/>
      <c r="U552" s="200"/>
      <c r="V552" s="201"/>
      <c r="W552" s="201"/>
      <c r="X552" s="201"/>
      <c r="Y552" s="201"/>
      <c r="Z552" s="202" t="str">
        <f t="shared" si="0"/>
        <v>RLOM Sensors</v>
      </c>
      <c r="AA552" s="172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</row>
    <row r="553" spans="1:40" ht="63" customHeight="1">
      <c r="A553" s="190">
        <v>4</v>
      </c>
      <c r="B553" s="190" t="s">
        <v>363</v>
      </c>
      <c r="C553" s="190">
        <v>40</v>
      </c>
      <c r="D553" s="191" t="s">
        <v>374</v>
      </c>
      <c r="E553" s="237">
        <v>400</v>
      </c>
      <c r="F553" s="193" t="s">
        <v>434</v>
      </c>
      <c r="G553" s="193" t="s">
        <v>454</v>
      </c>
      <c r="H553" s="212" t="str">
        <f>HYPERLINK("http://bsdd.buildingsmart.org/#concept/details/1PA8DyXK16$BnXa1MKDY_l","1PA8DyXK16$BnXa1MKDY_l")</f>
        <v>1PA8DyXK16$BnXa1MKDY_l</v>
      </c>
      <c r="I553" s="123" t="s">
        <v>560</v>
      </c>
      <c r="J553" s="195" t="s">
        <v>4373</v>
      </c>
      <c r="K553" s="191"/>
      <c r="L553" s="248" t="s">
        <v>4374</v>
      </c>
      <c r="M553" s="210"/>
      <c r="N553" s="203" t="s">
        <v>557</v>
      </c>
      <c r="O553" s="203" t="s">
        <v>454</v>
      </c>
      <c r="P553" s="191" t="s">
        <v>558</v>
      </c>
      <c r="Q553" s="192" t="s">
        <v>511</v>
      </c>
      <c r="R553" s="192" t="s">
        <v>512</v>
      </c>
      <c r="S553" s="206" t="s">
        <v>562</v>
      </c>
      <c r="T553" s="199"/>
      <c r="U553" s="200"/>
      <c r="V553" s="201"/>
      <c r="W553" s="201"/>
      <c r="X553" s="201"/>
      <c r="Y553" s="201"/>
      <c r="Z553" s="202" t="str">
        <f t="shared" si="0"/>
        <v>RLOM ProtectiveDevices</v>
      </c>
      <c r="AA553" s="172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</row>
    <row r="554" spans="1:40" ht="63" customHeight="1">
      <c r="A554" s="190">
        <v>4</v>
      </c>
      <c r="B554" s="190" t="s">
        <v>363</v>
      </c>
      <c r="C554" s="190">
        <v>40</v>
      </c>
      <c r="D554" s="191" t="s">
        <v>374</v>
      </c>
      <c r="E554" s="237">
        <v>400</v>
      </c>
      <c r="F554" s="193" t="s">
        <v>434</v>
      </c>
      <c r="G554" s="193" t="s">
        <v>454</v>
      </c>
      <c r="H554" s="212" t="str">
        <f>HYPERLINK("http://bsdd.buildingsmart.org/#concept/details/2utgPRwOv5787UumqkcxD5","2utgPRwOv5787UumqkcxD5")</f>
        <v>2utgPRwOv5787UumqkcxD5</v>
      </c>
      <c r="I554" s="123" t="s">
        <v>563</v>
      </c>
      <c r="J554" s="195" t="s">
        <v>4375</v>
      </c>
      <c r="K554" s="191"/>
      <c r="L554" s="248" t="s">
        <v>4376</v>
      </c>
      <c r="M554" s="210"/>
      <c r="N554" s="203" t="s">
        <v>557</v>
      </c>
      <c r="O554" s="203" t="s">
        <v>454</v>
      </c>
      <c r="P554" s="191" t="s">
        <v>558</v>
      </c>
      <c r="Q554" s="192" t="s">
        <v>568</v>
      </c>
      <c r="R554" s="192" t="s">
        <v>570</v>
      </c>
      <c r="S554" s="206" t="s">
        <v>572</v>
      </c>
      <c r="T554" s="199"/>
      <c r="U554" s="200"/>
      <c r="V554" s="201"/>
      <c r="W554" s="201"/>
      <c r="X554" s="201"/>
      <c r="Y554" s="201"/>
      <c r="Z554" s="202" t="str">
        <f t="shared" si="0"/>
        <v>RLOM ProtectiveDeviceTrippingUnits</v>
      </c>
      <c r="AA554" s="172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</row>
    <row r="555" spans="1:40" ht="63" customHeight="1">
      <c r="A555" s="190">
        <v>4</v>
      </c>
      <c r="B555" s="190" t="s">
        <v>363</v>
      </c>
      <c r="C555" s="190">
        <v>40</v>
      </c>
      <c r="D555" s="191" t="s">
        <v>374</v>
      </c>
      <c r="E555" s="237">
        <v>400</v>
      </c>
      <c r="F555" s="193" t="s">
        <v>434</v>
      </c>
      <c r="G555" s="193" t="s">
        <v>454</v>
      </c>
      <c r="H555" s="212" t="str">
        <f>HYPERLINK("http://bsdd.buildingsmart.org/#concept/details/1h3lQ03cOHtm00025QrE$V","1h3lQ03cOHtm00025QrE$V")</f>
        <v>1h3lQ03cOHtm00025QrE$V</v>
      </c>
      <c r="I555" s="123" t="s">
        <v>574</v>
      </c>
      <c r="J555" s="195" t="s">
        <v>4377</v>
      </c>
      <c r="K555" s="191"/>
      <c r="L555" s="248" t="s">
        <v>4378</v>
      </c>
      <c r="M555" s="210"/>
      <c r="N555" s="203" t="s">
        <v>557</v>
      </c>
      <c r="O555" s="203" t="s">
        <v>454</v>
      </c>
      <c r="P555" s="191" t="s">
        <v>558</v>
      </c>
      <c r="Q555" s="192" t="s">
        <v>511</v>
      </c>
      <c r="R555" s="192" t="s">
        <v>512</v>
      </c>
      <c r="S555" s="206" t="s">
        <v>576</v>
      </c>
      <c r="T555" s="199"/>
      <c r="U555" s="200"/>
      <c r="V555" s="201"/>
      <c r="W555" s="201"/>
      <c r="X555" s="201"/>
      <c r="Y555" s="201"/>
      <c r="Z555" s="202" t="str">
        <f t="shared" si="0"/>
        <v>RLOM ProtectiveDevices</v>
      </c>
      <c r="AA555" s="172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</row>
    <row r="556" spans="1:40" ht="27" customHeight="1">
      <c r="A556" s="190">
        <v>4</v>
      </c>
      <c r="B556" s="190" t="s">
        <v>363</v>
      </c>
      <c r="C556" s="190">
        <v>40</v>
      </c>
      <c r="D556" s="191" t="s">
        <v>374</v>
      </c>
      <c r="E556" s="237">
        <v>400</v>
      </c>
      <c r="F556" s="193" t="s">
        <v>434</v>
      </c>
      <c r="G556" s="193" t="s">
        <v>454</v>
      </c>
      <c r="H556" s="212" t="str">
        <f>HYPERLINK("http://bsdd.buildingsmart.org/#concept/details/0SAIf20NT24flcyLHHMycL","0SAIf20NT24flcyLHHMycL")</f>
        <v>0SAIf20NT24flcyLHHMycL</v>
      </c>
      <c r="I556" s="123" t="s">
        <v>578</v>
      </c>
      <c r="J556" s="195" t="s">
        <v>4379</v>
      </c>
      <c r="K556" s="191" t="s">
        <v>579</v>
      </c>
      <c r="L556" s="248" t="s">
        <v>4380</v>
      </c>
      <c r="M556" s="210"/>
      <c r="N556" s="203" t="s">
        <v>489</v>
      </c>
      <c r="O556" s="203" t="s">
        <v>509</v>
      </c>
      <c r="P556" s="191" t="s">
        <v>510</v>
      </c>
      <c r="Q556" s="192" t="s">
        <v>511</v>
      </c>
      <c r="R556" s="192" t="s">
        <v>512</v>
      </c>
      <c r="S556" s="206" t="s">
        <v>532</v>
      </c>
      <c r="T556" s="199" t="s">
        <v>584</v>
      </c>
      <c r="U556" s="200"/>
      <c r="V556" s="201"/>
      <c r="W556" s="201"/>
      <c r="X556" s="201"/>
      <c r="Y556" s="201"/>
      <c r="Z556" s="202" t="str">
        <f t="shared" si="0"/>
        <v>RLOM ProtectiveDevices</v>
      </c>
      <c r="AA556" s="174"/>
      <c r="AB556" s="147"/>
      <c r="AC556" s="147"/>
      <c r="AD556" s="147"/>
      <c r="AE556" s="147"/>
      <c r="AF556" s="147"/>
      <c r="AG556" s="147"/>
      <c r="AH556" s="147"/>
      <c r="AI556" s="147"/>
      <c r="AJ556" s="147"/>
      <c r="AK556" s="147"/>
      <c r="AL556" s="147"/>
      <c r="AM556" s="147"/>
      <c r="AN556" s="147"/>
    </row>
    <row r="557" spans="1:40" ht="18" customHeight="1">
      <c r="A557" s="190">
        <v>4</v>
      </c>
      <c r="B557" s="190" t="s">
        <v>363</v>
      </c>
      <c r="C557" s="190">
        <v>40</v>
      </c>
      <c r="D557" s="191" t="s">
        <v>374</v>
      </c>
      <c r="E557" s="237">
        <v>400</v>
      </c>
      <c r="F557" s="193" t="s">
        <v>434</v>
      </c>
      <c r="G557" s="193" t="s">
        <v>454</v>
      </c>
      <c r="H557" s="212" t="str">
        <f>HYPERLINK("http://bsdd.buildingsmart.org/#concept/details/0gwkOu01n5Ih5w$MWPwEKL","0gwkOu01n5Ih5w$MWPwEKL")</f>
        <v>0gwkOu01n5Ih5w$MWPwEKL</v>
      </c>
      <c r="I557" s="123" t="s">
        <v>590</v>
      </c>
      <c r="J557" s="195" t="s">
        <v>4381</v>
      </c>
      <c r="K557" s="191" t="s">
        <v>591</v>
      </c>
      <c r="L557" s="248" t="s">
        <v>4382</v>
      </c>
      <c r="M557" s="210"/>
      <c r="N557" s="203" t="s">
        <v>529</v>
      </c>
      <c r="O557" s="203" t="s">
        <v>526</v>
      </c>
      <c r="P557" s="191" t="s">
        <v>531</v>
      </c>
      <c r="Q557" s="192" t="s">
        <v>511</v>
      </c>
      <c r="R557" s="192" t="s">
        <v>512</v>
      </c>
      <c r="S557" s="206" t="s">
        <v>600</v>
      </c>
      <c r="T557" s="199" t="s">
        <v>602</v>
      </c>
      <c r="U557" s="200"/>
      <c r="V557" s="201"/>
      <c r="W557" s="201"/>
      <c r="X557" s="201"/>
      <c r="Y557" s="201"/>
      <c r="Z557" s="202" t="str">
        <f t="shared" si="0"/>
        <v>RLOM ProtectiveDevices</v>
      </c>
      <c r="AA557" s="174"/>
      <c r="AB557" s="147"/>
      <c r="AC557" s="147"/>
      <c r="AD557" s="147"/>
      <c r="AE557" s="147"/>
      <c r="AF557" s="147"/>
      <c r="AG557" s="147"/>
      <c r="AH557" s="147"/>
      <c r="AI557" s="147"/>
      <c r="AJ557" s="147"/>
      <c r="AK557" s="147"/>
      <c r="AL557" s="147"/>
      <c r="AM557" s="147"/>
      <c r="AN557" s="147"/>
    </row>
    <row r="558" spans="1:40" ht="27" customHeight="1">
      <c r="A558" s="190">
        <v>4</v>
      </c>
      <c r="B558" s="190" t="s">
        <v>363</v>
      </c>
      <c r="C558" s="190">
        <v>40</v>
      </c>
      <c r="D558" s="191" t="s">
        <v>374</v>
      </c>
      <c r="E558" s="237">
        <v>400</v>
      </c>
      <c r="F558" s="193" t="s">
        <v>434</v>
      </c>
      <c r="G558" s="193" t="s">
        <v>454</v>
      </c>
      <c r="H558" s="212" t="str">
        <f>HYPERLINK("http://bsdd.buildingsmart.org/#concept/details/3vHTlgoT0Hsm00051Mm008","3vHTlgoT0Hsm00051Mm008")</f>
        <v>3vHTlgoT0Hsm00051Mm008</v>
      </c>
      <c r="I558" s="123" t="s">
        <v>609</v>
      </c>
      <c r="J558" s="195" t="s">
        <v>4383</v>
      </c>
      <c r="K558" s="191" t="s">
        <v>610</v>
      </c>
      <c r="L558" s="248" t="s">
        <v>4384</v>
      </c>
      <c r="M558" s="210"/>
      <c r="N558" s="203" t="s">
        <v>489</v>
      </c>
      <c r="O558" s="203" t="s">
        <v>509</v>
      </c>
      <c r="P558" s="191" t="s">
        <v>510</v>
      </c>
      <c r="Q558" s="192" t="s">
        <v>511</v>
      </c>
      <c r="R558" s="192" t="s">
        <v>512</v>
      </c>
      <c r="S558" s="206" t="s">
        <v>614</v>
      </c>
      <c r="T558" s="199"/>
      <c r="U558" s="200"/>
      <c r="V558" s="201"/>
      <c r="W558" s="201"/>
      <c r="X558" s="201"/>
      <c r="Y558" s="201"/>
      <c r="Z558" s="202" t="str">
        <f t="shared" si="0"/>
        <v>RLOM ProtectiveDevices</v>
      </c>
      <c r="AA558" s="174"/>
      <c r="AB558" s="147"/>
      <c r="AC558" s="147"/>
      <c r="AD558" s="147"/>
      <c r="AE558" s="147"/>
      <c r="AF558" s="147"/>
      <c r="AG558" s="147"/>
      <c r="AH558" s="147"/>
      <c r="AI558" s="147"/>
      <c r="AJ558" s="147"/>
      <c r="AK558" s="147"/>
      <c r="AL558" s="147"/>
      <c r="AM558" s="147"/>
      <c r="AN558" s="147"/>
    </row>
    <row r="559" spans="1:40" ht="36" customHeight="1">
      <c r="A559" s="190">
        <v>4</v>
      </c>
      <c r="B559" s="190" t="s">
        <v>363</v>
      </c>
      <c r="C559" s="190">
        <v>40</v>
      </c>
      <c r="D559" s="191" t="s">
        <v>374</v>
      </c>
      <c r="E559" s="237">
        <v>400</v>
      </c>
      <c r="F559" s="193" t="s">
        <v>434</v>
      </c>
      <c r="G559" s="193" t="s">
        <v>454</v>
      </c>
      <c r="H559" s="212" t="str">
        <f>HYPERLINK("http://bsdd.buildingsmart.org/#concept/details/1tLCU3t8n3kh1QGJpZXKLC","1tLCU3t8n3kh1QGJpZXKLC")</f>
        <v>1tLCU3t8n3kh1QGJpZXKLC</v>
      </c>
      <c r="I559" s="123" t="s">
        <v>615</v>
      </c>
      <c r="J559" s="195" t="s">
        <v>4385</v>
      </c>
      <c r="K559" s="191" t="s">
        <v>616</v>
      </c>
      <c r="L559" s="248" t="s">
        <v>4386</v>
      </c>
      <c r="M559" s="210"/>
      <c r="N559" s="203" t="s">
        <v>619</v>
      </c>
      <c r="O559" s="203" t="s">
        <v>621</v>
      </c>
      <c r="P559" s="191" t="s">
        <v>622</v>
      </c>
      <c r="Q559" s="192" t="s">
        <v>559</v>
      </c>
      <c r="R559" s="192" t="s">
        <v>625</v>
      </c>
      <c r="S559" s="206" t="s">
        <v>627</v>
      </c>
      <c r="T559" s="199"/>
      <c r="U559" s="200"/>
      <c r="V559" s="201"/>
      <c r="W559" s="201"/>
      <c r="X559" s="201"/>
      <c r="Y559" s="201"/>
      <c r="Z559" s="202" t="str">
        <f t="shared" si="0"/>
        <v>RLOM Sensors</v>
      </c>
      <c r="AA559" s="174"/>
      <c r="AB559" s="147"/>
      <c r="AC559" s="147"/>
      <c r="AD559" s="147"/>
      <c r="AE559" s="147"/>
      <c r="AF559" s="147"/>
      <c r="AG559" s="147"/>
      <c r="AH559" s="147"/>
      <c r="AI559" s="147"/>
      <c r="AJ559" s="147"/>
      <c r="AK559" s="147"/>
      <c r="AL559" s="147"/>
      <c r="AM559" s="147"/>
      <c r="AN559" s="147"/>
    </row>
    <row r="560" spans="1:40" ht="27" customHeight="1">
      <c r="A560" s="190">
        <v>4</v>
      </c>
      <c r="B560" s="190" t="s">
        <v>363</v>
      </c>
      <c r="C560" s="190">
        <v>40</v>
      </c>
      <c r="D560" s="191" t="s">
        <v>374</v>
      </c>
      <c r="E560" s="237">
        <v>400</v>
      </c>
      <c r="F560" s="193" t="s">
        <v>434</v>
      </c>
      <c r="G560" s="193" t="s">
        <v>454</v>
      </c>
      <c r="H560" s="212" t="str">
        <f>HYPERLINK("http://bsdd.buildingsmart.org/#concept/details/3KupxLUj96KBO$aD6W_lYs","3KupxLUj96KBO$aD6W_lYs")</f>
        <v>3KupxLUj96KBO$aD6W_lYs</v>
      </c>
      <c r="I560" s="123" t="s">
        <v>628</v>
      </c>
      <c r="J560" s="195" t="s">
        <v>4387</v>
      </c>
      <c r="K560" s="191" t="s">
        <v>629</v>
      </c>
      <c r="L560" s="248" t="s">
        <v>4388</v>
      </c>
      <c r="M560" s="210"/>
      <c r="N560" s="203" t="s">
        <v>489</v>
      </c>
      <c r="O560" s="203" t="s">
        <v>509</v>
      </c>
      <c r="P560" s="191" t="s">
        <v>510</v>
      </c>
      <c r="Q560" s="192" t="s">
        <v>568</v>
      </c>
      <c r="R560" s="192" t="s">
        <v>570</v>
      </c>
      <c r="S560" s="206" t="s">
        <v>634</v>
      </c>
      <c r="T560" s="199"/>
      <c r="U560" s="200"/>
      <c r="V560" s="201"/>
      <c r="W560" s="201"/>
      <c r="X560" s="201"/>
      <c r="Y560" s="201"/>
      <c r="Z560" s="202" t="str">
        <f t="shared" si="0"/>
        <v>RLOM ProtectiveDeviceTrippingUnits</v>
      </c>
      <c r="AA560" s="174"/>
      <c r="AB560" s="147"/>
      <c r="AC560" s="147"/>
      <c r="AD560" s="147"/>
      <c r="AE560" s="147"/>
      <c r="AF560" s="147"/>
      <c r="AG560" s="147"/>
      <c r="AH560" s="147"/>
      <c r="AI560" s="147"/>
      <c r="AJ560" s="147"/>
      <c r="AK560" s="147"/>
      <c r="AL560" s="147"/>
      <c r="AM560" s="147"/>
      <c r="AN560" s="147"/>
    </row>
    <row r="561" spans="1:40" ht="18" customHeight="1">
      <c r="A561" s="190">
        <v>4</v>
      </c>
      <c r="B561" s="190" t="s">
        <v>363</v>
      </c>
      <c r="C561" s="190">
        <v>40</v>
      </c>
      <c r="D561" s="191" t="s">
        <v>374</v>
      </c>
      <c r="E561" s="237">
        <v>400</v>
      </c>
      <c r="F561" s="193" t="s">
        <v>434</v>
      </c>
      <c r="G561" s="193" t="s">
        <v>454</v>
      </c>
      <c r="H561" s="212" t="str">
        <f>HYPERLINK("http://bsdd.buildingsmart.org/#concept/details/30jI8tb6P9ug4pLNWVJ4i5","30jI8tb6P9ug4pLNWVJ4i5")</f>
        <v>30jI8tb6P9ug4pLNWVJ4i5</v>
      </c>
      <c r="I561" s="123" t="s">
        <v>637</v>
      </c>
      <c r="J561" s="195" t="s">
        <v>4389</v>
      </c>
      <c r="K561" s="191" t="s">
        <v>638</v>
      </c>
      <c r="L561" s="248" t="s">
        <v>4390</v>
      </c>
      <c r="M561" s="210"/>
      <c r="N561" s="203" t="s">
        <v>640</v>
      </c>
      <c r="O561" s="203" t="s">
        <v>642</v>
      </c>
      <c r="P561" s="191" t="s">
        <v>644</v>
      </c>
      <c r="Q561" s="192" t="s">
        <v>568</v>
      </c>
      <c r="R561" s="192" t="s">
        <v>570</v>
      </c>
      <c r="S561" s="206" t="s">
        <v>634</v>
      </c>
      <c r="T561" s="199"/>
      <c r="U561" s="201"/>
      <c r="V561" s="201"/>
      <c r="W561" s="201"/>
      <c r="X561" s="201"/>
      <c r="Y561" s="201"/>
      <c r="Z561" s="202" t="str">
        <f t="shared" si="0"/>
        <v>RLOM ProtectiveDeviceTrippingUnits</v>
      </c>
      <c r="AA561" s="174"/>
      <c r="AB561" s="147"/>
      <c r="AC561" s="147"/>
      <c r="AD561" s="147"/>
      <c r="AE561" s="147"/>
      <c r="AF561" s="147"/>
      <c r="AG561" s="147"/>
      <c r="AH561" s="147"/>
      <c r="AI561" s="147"/>
      <c r="AJ561" s="147"/>
      <c r="AK561" s="147"/>
      <c r="AL561" s="147"/>
      <c r="AM561" s="147"/>
      <c r="AN561" s="147"/>
    </row>
    <row r="562" spans="1:40" ht="63" customHeight="1">
      <c r="A562" s="190">
        <v>4</v>
      </c>
      <c r="B562" s="190" t="s">
        <v>363</v>
      </c>
      <c r="C562" s="190">
        <v>41</v>
      </c>
      <c r="D562" s="191" t="s">
        <v>672</v>
      </c>
      <c r="E562" s="237">
        <v>411</v>
      </c>
      <c r="F562" s="193" t="s">
        <v>675</v>
      </c>
      <c r="G562" s="193" t="s">
        <v>677</v>
      </c>
      <c r="H562" s="212" t="str">
        <f>HYPERLINK("http://bsdd.buildingsmart.org/#concept/details/0Ez1ple5j88vC16EVRXFS2","0Ez1ple5j88vC16EVRXFS2")</f>
        <v>0Ez1ple5j88vC16EVRXFS2</v>
      </c>
      <c r="I562" s="123" t="s">
        <v>745</v>
      </c>
      <c r="J562" s="195" t="s">
        <v>4391</v>
      </c>
      <c r="K562" s="191"/>
      <c r="L562" s="248" t="s">
        <v>4392</v>
      </c>
      <c r="M562" s="210"/>
      <c r="N562" s="203" t="s">
        <v>750</v>
      </c>
      <c r="O562" s="203" t="s">
        <v>752</v>
      </c>
      <c r="P562" s="191" t="s">
        <v>754</v>
      </c>
      <c r="Q562" s="192" t="s">
        <v>759</v>
      </c>
      <c r="R562" s="192" t="s">
        <v>761</v>
      </c>
      <c r="S562" s="206" t="s">
        <v>763</v>
      </c>
      <c r="T562" s="199"/>
      <c r="U562" s="201"/>
      <c r="V562" s="201"/>
      <c r="W562" s="201"/>
      <c r="X562" s="201"/>
      <c r="Y562" s="201"/>
      <c r="Z562" s="202" t="str">
        <f t="shared" si="0"/>
        <v>RLOM CableCarrierSegments</v>
      </c>
      <c r="AA562" s="174"/>
      <c r="AB562" s="147"/>
      <c r="AC562" s="147"/>
      <c r="AD562" s="147"/>
      <c r="AE562" s="147"/>
      <c r="AF562" s="147"/>
      <c r="AG562" s="147"/>
      <c r="AH562" s="147"/>
      <c r="AI562" s="147"/>
      <c r="AJ562" s="147"/>
      <c r="AK562" s="147"/>
      <c r="AL562" s="147"/>
      <c r="AM562" s="147"/>
      <c r="AN562" s="147"/>
    </row>
    <row r="563" spans="1:40" ht="45" customHeight="1">
      <c r="A563" s="190">
        <v>4</v>
      </c>
      <c r="B563" s="190" t="s">
        <v>363</v>
      </c>
      <c r="C563" s="190">
        <v>41</v>
      </c>
      <c r="D563" s="191" t="s">
        <v>672</v>
      </c>
      <c r="E563" s="237">
        <v>411</v>
      </c>
      <c r="F563" s="193" t="s">
        <v>675</v>
      </c>
      <c r="G563" s="193" t="s">
        <v>677</v>
      </c>
      <c r="H563" s="212" t="str">
        <f>HYPERLINK("http://bsdd.buildingsmart.org/#concept/details/0cgiZxCNPDeQ9AEr_O0yaR","0cgiZxCNPDeQ9AEr_O0yaR")</f>
        <v>0cgiZxCNPDeQ9AEr_O0yaR</v>
      </c>
      <c r="I563" s="123" t="s">
        <v>5130</v>
      </c>
      <c r="J563" s="195" t="s">
        <v>4393</v>
      </c>
      <c r="K563" s="191"/>
      <c r="L563" s="248" t="s">
        <v>4394</v>
      </c>
      <c r="M563" s="210"/>
      <c r="N563" s="203" t="s">
        <v>722</v>
      </c>
      <c r="O563" s="203" t="s">
        <v>724</v>
      </c>
      <c r="P563" s="191" t="s">
        <v>726</v>
      </c>
      <c r="Q563" s="192" t="s">
        <v>759</v>
      </c>
      <c r="R563" s="192" t="s">
        <v>881</v>
      </c>
      <c r="S563" s="206" t="s">
        <v>882</v>
      </c>
      <c r="T563" s="199"/>
      <c r="U563" s="201"/>
      <c r="V563" s="201"/>
      <c r="W563" s="201"/>
      <c r="X563" s="201"/>
      <c r="Y563" s="201"/>
      <c r="Z563" s="202" t="str">
        <f t="shared" si="0"/>
        <v>RLOM CableCarrierSegments</v>
      </c>
      <c r="AA563" s="174"/>
      <c r="AB563" s="147"/>
      <c r="AC563" s="147"/>
      <c r="AD563" s="147"/>
      <c r="AE563" s="147"/>
      <c r="AF563" s="147"/>
      <c r="AG563" s="147"/>
      <c r="AH563" s="147"/>
      <c r="AI563" s="147"/>
      <c r="AJ563" s="147"/>
      <c r="AK563" s="147"/>
      <c r="AL563" s="147"/>
      <c r="AM563" s="147"/>
      <c r="AN563" s="147"/>
    </row>
    <row r="564" spans="1:40" ht="45" customHeight="1">
      <c r="A564" s="190">
        <v>4</v>
      </c>
      <c r="B564" s="190" t="s">
        <v>363</v>
      </c>
      <c r="C564" s="190">
        <v>41</v>
      </c>
      <c r="D564" s="191" t="s">
        <v>672</v>
      </c>
      <c r="E564" s="237">
        <v>411</v>
      </c>
      <c r="F564" s="193" t="s">
        <v>675</v>
      </c>
      <c r="G564" s="193" t="s">
        <v>677</v>
      </c>
      <c r="H564" s="212" t="str">
        <f>HYPERLINK("http://bsdd.buildingsmart.org/#concept/details/0M8xGc4W95_AfZpx$qFGdU","0M8xGc4W95_AfZpx$qFGdU")</f>
        <v>0M8xGc4W95_AfZpx$qFGdU</v>
      </c>
      <c r="I564" s="123" t="s">
        <v>5131</v>
      </c>
      <c r="J564" s="195" t="s">
        <v>4395</v>
      </c>
      <c r="K564" s="191" t="s">
        <v>890</v>
      </c>
      <c r="L564" s="248" t="s">
        <v>4396</v>
      </c>
      <c r="M564" s="210"/>
      <c r="N564" s="203" t="s">
        <v>893</v>
      </c>
      <c r="O564" s="203" t="s">
        <v>895</v>
      </c>
      <c r="P564" s="191" t="s">
        <v>896</v>
      </c>
      <c r="Q564" s="192" t="s">
        <v>897</v>
      </c>
      <c r="R564" s="192" t="s">
        <v>898</v>
      </c>
      <c r="S564" s="206" t="s">
        <v>573</v>
      </c>
      <c r="T564" s="199"/>
      <c r="U564" s="201"/>
      <c r="V564" s="201"/>
      <c r="W564" s="201"/>
      <c r="X564" s="201"/>
      <c r="Y564" s="201"/>
      <c r="Z564" s="202" t="str">
        <f t="shared" si="0"/>
        <v>RLOM CableCarrierFittings</v>
      </c>
      <c r="AA564" s="174"/>
      <c r="AB564" s="147"/>
      <c r="AC564" s="147"/>
      <c r="AD564" s="147"/>
      <c r="AE564" s="147"/>
      <c r="AF564" s="147"/>
      <c r="AG564" s="147"/>
      <c r="AH564" s="147"/>
      <c r="AI564" s="147"/>
      <c r="AJ564" s="147"/>
      <c r="AK564" s="147"/>
      <c r="AL564" s="147"/>
      <c r="AM564" s="147"/>
      <c r="AN564" s="147"/>
    </row>
    <row r="565" spans="1:40" ht="45" customHeight="1">
      <c r="A565" s="190">
        <v>4</v>
      </c>
      <c r="B565" s="190" t="s">
        <v>363</v>
      </c>
      <c r="C565" s="190">
        <v>41</v>
      </c>
      <c r="D565" s="191" t="s">
        <v>672</v>
      </c>
      <c r="E565" s="237">
        <v>411</v>
      </c>
      <c r="F565" s="193" t="s">
        <v>675</v>
      </c>
      <c r="G565" s="193" t="s">
        <v>677</v>
      </c>
      <c r="H565" s="212" t="str">
        <f>HYPERLINK("http://bsdd.buildingsmart.org/#concept/details/3DV84X5O1EXBxo1i0VZ7Ve","3DV84X5O1EXBxo1i0VZ7Ve")</f>
        <v>3DV84X5O1EXBxo1i0VZ7Ve</v>
      </c>
      <c r="I565" s="123" t="s">
        <v>5132</v>
      </c>
      <c r="J565" s="195" t="s">
        <v>4397</v>
      </c>
      <c r="K565" s="191" t="s">
        <v>902</v>
      </c>
      <c r="L565" s="248" t="s">
        <v>4396</v>
      </c>
      <c r="M565" s="210"/>
      <c r="N565" s="203" t="s">
        <v>893</v>
      </c>
      <c r="O565" s="203" t="s">
        <v>895</v>
      </c>
      <c r="P565" s="191" t="s">
        <v>896</v>
      </c>
      <c r="Q565" s="192" t="s">
        <v>897</v>
      </c>
      <c r="R565" s="192" t="s">
        <v>898</v>
      </c>
      <c r="S565" s="206" t="s">
        <v>916</v>
      </c>
      <c r="T565" s="199"/>
      <c r="U565" s="201"/>
      <c r="V565" s="201"/>
      <c r="W565" s="201"/>
      <c r="X565" s="201"/>
      <c r="Y565" s="201"/>
      <c r="Z565" s="202" t="str">
        <f t="shared" si="0"/>
        <v>RLOM CableCarrierFittings</v>
      </c>
      <c r="AA565" s="174"/>
      <c r="AB565" s="147"/>
      <c r="AC565" s="147"/>
      <c r="AD565" s="147"/>
      <c r="AE565" s="147"/>
      <c r="AF565" s="147"/>
      <c r="AG565" s="147"/>
      <c r="AH565" s="147"/>
      <c r="AI565" s="147"/>
      <c r="AJ565" s="147"/>
      <c r="AK565" s="147"/>
      <c r="AL565" s="147"/>
      <c r="AM565" s="147"/>
      <c r="AN565" s="147"/>
    </row>
    <row r="566" spans="1:40" ht="45" customHeight="1">
      <c r="A566" s="190">
        <v>4</v>
      </c>
      <c r="B566" s="190" t="s">
        <v>363</v>
      </c>
      <c r="C566" s="190">
        <v>41</v>
      </c>
      <c r="D566" s="191" t="s">
        <v>672</v>
      </c>
      <c r="E566" s="237">
        <v>411</v>
      </c>
      <c r="F566" s="193" t="s">
        <v>675</v>
      </c>
      <c r="G566" s="193" t="s">
        <v>677</v>
      </c>
      <c r="H566" s="212" t="str">
        <f>HYPERLINK("http://bsdd.buildingsmart.org/#concept/details/1SMYz3yGDBBwPcWjeZTWrS","1SMYz3yGDBBwPcWjeZTWrS")</f>
        <v>1SMYz3yGDBBwPcWjeZTWrS</v>
      </c>
      <c r="I566" s="123" t="s">
        <v>5133</v>
      </c>
      <c r="J566" s="195" t="s">
        <v>4398</v>
      </c>
      <c r="K566" s="191" t="s">
        <v>943</v>
      </c>
      <c r="L566" s="248" t="s">
        <v>4396</v>
      </c>
      <c r="M566" s="210"/>
      <c r="N566" s="203" t="s">
        <v>893</v>
      </c>
      <c r="O566" s="203" t="s">
        <v>895</v>
      </c>
      <c r="P566" s="191" t="s">
        <v>896</v>
      </c>
      <c r="Q566" s="192" t="s">
        <v>897</v>
      </c>
      <c r="R566" s="192" t="s">
        <v>898</v>
      </c>
      <c r="S566" s="206" t="s">
        <v>969</v>
      </c>
      <c r="T566" s="199"/>
      <c r="U566" s="201"/>
      <c r="V566" s="201"/>
      <c r="W566" s="201"/>
      <c r="X566" s="201"/>
      <c r="Y566" s="201"/>
      <c r="Z566" s="202" t="str">
        <f t="shared" si="0"/>
        <v>RLOM CableCarrierFittings</v>
      </c>
      <c r="AA566" s="174"/>
      <c r="AB566" s="147"/>
      <c r="AC566" s="147"/>
      <c r="AD566" s="147"/>
      <c r="AE566" s="147"/>
      <c r="AF566" s="147"/>
      <c r="AG566" s="147"/>
      <c r="AH566" s="147"/>
      <c r="AI566" s="147"/>
      <c r="AJ566" s="147"/>
      <c r="AK566" s="147"/>
      <c r="AL566" s="147"/>
      <c r="AM566" s="147"/>
      <c r="AN566" s="147"/>
    </row>
    <row r="567" spans="1:40" ht="45" customHeight="1">
      <c r="A567" s="190">
        <v>4</v>
      </c>
      <c r="B567" s="190" t="s">
        <v>363</v>
      </c>
      <c r="C567" s="190">
        <v>41</v>
      </c>
      <c r="D567" s="191" t="s">
        <v>672</v>
      </c>
      <c r="E567" s="237">
        <v>411</v>
      </c>
      <c r="F567" s="193" t="s">
        <v>675</v>
      </c>
      <c r="G567" s="193" t="s">
        <v>677</v>
      </c>
      <c r="H567" s="212" t="str">
        <f>HYPERLINK("http://bsdd.buildingsmart.org/#concept/details/2wOPWYC8L4ORFz1I_LFZ4y","2wOPWYC8L4ORFz1I_LFZ4y")</f>
        <v>2wOPWYC8L4ORFz1I_LFZ4y</v>
      </c>
      <c r="I567" s="123" t="s">
        <v>5134</v>
      </c>
      <c r="J567" s="195" t="s">
        <v>4399</v>
      </c>
      <c r="K567" s="191" t="s">
        <v>979</v>
      </c>
      <c r="L567" s="248" t="s">
        <v>4396</v>
      </c>
      <c r="M567" s="210"/>
      <c r="N567" s="203" t="s">
        <v>893</v>
      </c>
      <c r="O567" s="203" t="s">
        <v>895</v>
      </c>
      <c r="P567" s="191" t="s">
        <v>896</v>
      </c>
      <c r="Q567" s="192" t="s">
        <v>897</v>
      </c>
      <c r="R567" s="192" t="s">
        <v>898</v>
      </c>
      <c r="S567" s="206" t="s">
        <v>981</v>
      </c>
      <c r="T567" s="199"/>
      <c r="U567" s="201"/>
      <c r="V567" s="201"/>
      <c r="W567" s="201"/>
      <c r="X567" s="201"/>
      <c r="Y567" s="201"/>
      <c r="Z567" s="202" t="str">
        <f t="shared" si="0"/>
        <v>RLOM CableCarrierFittings</v>
      </c>
      <c r="AA567" s="174"/>
      <c r="AB567" s="147"/>
      <c r="AC567" s="147"/>
      <c r="AD567" s="147"/>
      <c r="AE567" s="147"/>
      <c r="AF567" s="147"/>
      <c r="AG567" s="147"/>
      <c r="AH567" s="147"/>
      <c r="AI567" s="147"/>
      <c r="AJ567" s="147"/>
      <c r="AK567" s="147"/>
      <c r="AL567" s="147"/>
      <c r="AM567" s="147"/>
      <c r="AN567" s="147"/>
    </row>
    <row r="568" spans="1:40" ht="45" customHeight="1">
      <c r="A568" s="190">
        <v>4</v>
      </c>
      <c r="B568" s="190" t="s">
        <v>363</v>
      </c>
      <c r="C568" s="190">
        <v>41</v>
      </c>
      <c r="D568" s="191" t="s">
        <v>672</v>
      </c>
      <c r="E568" s="237">
        <v>411</v>
      </c>
      <c r="F568" s="193" t="s">
        <v>675</v>
      </c>
      <c r="G568" s="193" t="s">
        <v>677</v>
      </c>
      <c r="H568" s="212" t="str">
        <f>HYPERLINK("http://bsdd.buildingsmart.org/#concept/details/26RYNyd9X5SvQFiz7c_xOu","26RYNyd9X5SvQFiz7c_xOu")</f>
        <v>26RYNyd9X5SvQFiz7c_xOu</v>
      </c>
      <c r="I568" s="123" t="s">
        <v>5135</v>
      </c>
      <c r="J568" s="195" t="s">
        <v>4400</v>
      </c>
      <c r="K568" s="191"/>
      <c r="L568" s="248" t="s">
        <v>4401</v>
      </c>
      <c r="M568" s="210"/>
      <c r="N568" s="203" t="s">
        <v>893</v>
      </c>
      <c r="O568" s="203" t="s">
        <v>895</v>
      </c>
      <c r="P568" s="191" t="s">
        <v>896</v>
      </c>
      <c r="Q568" s="192" t="s">
        <v>1014</v>
      </c>
      <c r="R568" s="192" t="s">
        <v>1015</v>
      </c>
      <c r="S568" s="206" t="s">
        <v>1016</v>
      </c>
      <c r="T568" s="199"/>
      <c r="U568" s="201"/>
      <c r="V568" s="201"/>
      <c r="W568" s="201"/>
      <c r="X568" s="201"/>
      <c r="Y568" s="201"/>
      <c r="Z568" s="202" t="str">
        <f t="shared" si="0"/>
        <v>RLOM JunctionBoxs</v>
      </c>
      <c r="AA568" s="174"/>
      <c r="AB568" s="147"/>
      <c r="AC568" s="147"/>
      <c r="AD568" s="147"/>
      <c r="AE568" s="147"/>
      <c r="AF568" s="147"/>
      <c r="AG568" s="147"/>
      <c r="AH568" s="147"/>
      <c r="AI568" s="147"/>
      <c r="AJ568" s="147"/>
      <c r="AK568" s="147"/>
      <c r="AL568" s="147"/>
      <c r="AM568" s="147"/>
      <c r="AN568" s="147"/>
    </row>
    <row r="569" spans="1:40" ht="45" customHeight="1">
      <c r="A569" s="190">
        <v>4</v>
      </c>
      <c r="B569" s="190" t="s">
        <v>363</v>
      </c>
      <c r="C569" s="190">
        <v>41</v>
      </c>
      <c r="D569" s="191" t="s">
        <v>672</v>
      </c>
      <c r="E569" s="237">
        <v>411</v>
      </c>
      <c r="F569" s="193" t="s">
        <v>675</v>
      </c>
      <c r="G569" s="193" t="s">
        <v>677</v>
      </c>
      <c r="H569" s="212" t="str">
        <f>HYPERLINK("http://bsdd.buildingsmart.org/#concept/details/22tdIwqOXFUPDeKptVjjn0","22tdIwqOXFUPDeKptVjjn0")</f>
        <v>22tdIwqOXFUPDeKptVjjn0</v>
      </c>
      <c r="I569" s="123" t="s">
        <v>5136</v>
      </c>
      <c r="J569" s="195" t="s">
        <v>4402</v>
      </c>
      <c r="K569" s="191"/>
      <c r="L569" s="248" t="s">
        <v>4403</v>
      </c>
      <c r="M569" s="210"/>
      <c r="N569" s="203" t="s">
        <v>893</v>
      </c>
      <c r="O569" s="203" t="s">
        <v>895</v>
      </c>
      <c r="P569" s="191" t="s">
        <v>896</v>
      </c>
      <c r="Q569" s="192" t="s">
        <v>759</v>
      </c>
      <c r="R569" s="192" t="s">
        <v>761</v>
      </c>
      <c r="S569" s="206" t="s">
        <v>1036</v>
      </c>
      <c r="T569" s="199"/>
      <c r="U569" s="201"/>
      <c r="V569" s="201"/>
      <c r="W569" s="201"/>
      <c r="X569" s="201"/>
      <c r="Y569" s="201"/>
      <c r="Z569" s="202" t="str">
        <f t="shared" si="0"/>
        <v>RLOM CableCarrierSegments</v>
      </c>
      <c r="AA569" s="174"/>
      <c r="AB569" s="147"/>
      <c r="AC569" s="147"/>
      <c r="AD569" s="147"/>
      <c r="AE569" s="147"/>
      <c r="AF569" s="147"/>
      <c r="AG569" s="147"/>
      <c r="AH569" s="147"/>
      <c r="AI569" s="147"/>
      <c r="AJ569" s="147"/>
      <c r="AK569" s="147"/>
      <c r="AL569" s="147"/>
      <c r="AM569" s="147"/>
      <c r="AN569" s="147"/>
    </row>
    <row r="570" spans="1:40" ht="63" customHeight="1">
      <c r="A570" s="190">
        <v>4</v>
      </c>
      <c r="B570" s="190" t="s">
        <v>363</v>
      </c>
      <c r="C570" s="190">
        <v>41</v>
      </c>
      <c r="D570" s="191" t="s">
        <v>672</v>
      </c>
      <c r="E570" s="237">
        <v>411</v>
      </c>
      <c r="F570" s="193" t="s">
        <v>675</v>
      </c>
      <c r="G570" s="193" t="s">
        <v>677</v>
      </c>
      <c r="H570" s="212" t="str">
        <f>HYPERLINK("http://bsdd.buildingsmart.org/#concept/details/19Me40WJOHu000025QrE$V","19Me40WJOHu000025QrE$V")</f>
        <v>19Me40WJOHu000025QrE$V</v>
      </c>
      <c r="I570" s="123" t="s">
        <v>1039</v>
      </c>
      <c r="J570" s="195" t="s">
        <v>4404</v>
      </c>
      <c r="K570" s="191"/>
      <c r="L570" s="248" t="s">
        <v>4405</v>
      </c>
      <c r="M570" s="210"/>
      <c r="N570" s="203" t="s">
        <v>750</v>
      </c>
      <c r="O570" s="203" t="s">
        <v>752</v>
      </c>
      <c r="P570" s="191" t="s">
        <v>754</v>
      </c>
      <c r="Q570" s="192" t="s">
        <v>759</v>
      </c>
      <c r="R570" s="192" t="s">
        <v>761</v>
      </c>
      <c r="S570" s="206" t="s">
        <v>763</v>
      </c>
      <c r="T570" s="199"/>
      <c r="U570" s="201"/>
      <c r="V570" s="201"/>
      <c r="W570" s="201"/>
      <c r="X570" s="201"/>
      <c r="Y570" s="201"/>
      <c r="Z570" s="202" t="str">
        <f t="shared" si="0"/>
        <v>RLOM CableCarrierSegments</v>
      </c>
      <c r="AA570" s="174"/>
      <c r="AB570" s="147"/>
      <c r="AC570" s="147"/>
      <c r="AD570" s="147"/>
      <c r="AE570" s="147"/>
      <c r="AF570" s="147"/>
      <c r="AG570" s="147"/>
      <c r="AH570" s="147"/>
      <c r="AI570" s="147"/>
      <c r="AJ570" s="147"/>
      <c r="AK570" s="147"/>
      <c r="AL570" s="147"/>
      <c r="AM570" s="147"/>
      <c r="AN570" s="147"/>
    </row>
    <row r="571" spans="1:40" ht="45" customHeight="1">
      <c r="A571" s="190">
        <v>4</v>
      </c>
      <c r="B571" s="190" t="s">
        <v>363</v>
      </c>
      <c r="C571" s="190">
        <v>41</v>
      </c>
      <c r="D571" s="191" t="s">
        <v>672</v>
      </c>
      <c r="E571" s="237">
        <v>411</v>
      </c>
      <c r="F571" s="193" t="s">
        <v>675</v>
      </c>
      <c r="G571" s="193" t="s">
        <v>677</v>
      </c>
      <c r="H571" s="212" t="str">
        <f>HYPERLINK("http://bsdd.buildingsmart.org/#concept/details/3vHKlGoT0Hsm00051Mm008","3vHKlGoT0Hsm00051Mm008")</f>
        <v>3vHKlGoT0Hsm00051Mm008</v>
      </c>
      <c r="I571" s="123" t="s">
        <v>1046</v>
      </c>
      <c r="J571" s="195" t="s">
        <v>4406</v>
      </c>
      <c r="K571" s="191"/>
      <c r="L571" s="248" t="s">
        <v>4407</v>
      </c>
      <c r="M571" s="210" t="s">
        <v>1048</v>
      </c>
      <c r="N571" s="203" t="s">
        <v>893</v>
      </c>
      <c r="O571" s="203" t="s">
        <v>895</v>
      </c>
      <c r="P571" s="191" t="s">
        <v>896</v>
      </c>
      <c r="Q571" s="192" t="s">
        <v>759</v>
      </c>
      <c r="R571" s="192" t="s">
        <v>761</v>
      </c>
      <c r="S571" s="206" t="s">
        <v>1036</v>
      </c>
      <c r="T571" s="199"/>
      <c r="U571" s="201"/>
      <c r="V571" s="201"/>
      <c r="W571" s="201"/>
      <c r="X571" s="201"/>
      <c r="Y571" s="201"/>
      <c r="Z571" s="202" t="str">
        <f t="shared" si="0"/>
        <v>RLOM CableCarrierSegments</v>
      </c>
      <c r="AA571" s="174"/>
      <c r="AB571" s="147"/>
      <c r="AC571" s="147"/>
      <c r="AD571" s="147"/>
      <c r="AE571" s="147"/>
      <c r="AF571" s="147"/>
      <c r="AG571" s="147"/>
      <c r="AH571" s="147"/>
      <c r="AI571" s="147"/>
      <c r="AJ571" s="147"/>
      <c r="AK571" s="147"/>
      <c r="AL571" s="147"/>
      <c r="AM571" s="147"/>
      <c r="AN571" s="147"/>
    </row>
    <row r="572" spans="1:40" ht="63" customHeight="1">
      <c r="A572" s="190">
        <v>4</v>
      </c>
      <c r="B572" s="190" t="s">
        <v>363</v>
      </c>
      <c r="C572" s="190">
        <v>41</v>
      </c>
      <c r="D572" s="191" t="s">
        <v>672</v>
      </c>
      <c r="E572" s="237">
        <v>411</v>
      </c>
      <c r="F572" s="193" t="s">
        <v>675</v>
      </c>
      <c r="G572" s="193" t="s">
        <v>677</v>
      </c>
      <c r="H572" s="212" t="str">
        <f>HYPERLINK("http://bsdd.buildingsmart.org/#concept/details/1AYwu0WJOHu000025QrE$V","1AYwu0WJOHu000025QrE$V")</f>
        <v>1AYwu0WJOHu000025QrE$V</v>
      </c>
      <c r="I572" s="123" t="s">
        <v>1088</v>
      </c>
      <c r="J572" s="195" t="s">
        <v>4408</v>
      </c>
      <c r="K572" s="191"/>
      <c r="L572" s="248" t="s">
        <v>4409</v>
      </c>
      <c r="M572" s="210"/>
      <c r="N572" s="203" t="s">
        <v>750</v>
      </c>
      <c r="O572" s="203" t="s">
        <v>752</v>
      </c>
      <c r="P572" s="191" t="s">
        <v>754</v>
      </c>
      <c r="Q572" s="192" t="s">
        <v>759</v>
      </c>
      <c r="R572" s="192" t="s">
        <v>761</v>
      </c>
      <c r="S572" s="206" t="s">
        <v>1099</v>
      </c>
      <c r="T572" s="199"/>
      <c r="U572" s="201"/>
      <c r="V572" s="201"/>
      <c r="W572" s="201"/>
      <c r="X572" s="201"/>
      <c r="Y572" s="201"/>
      <c r="Z572" s="202" t="str">
        <f t="shared" si="0"/>
        <v>RLOM CableCarrierSegments</v>
      </c>
      <c r="AA572" s="174"/>
      <c r="AB572" s="147"/>
      <c r="AC572" s="147"/>
      <c r="AD572" s="147"/>
      <c r="AE572" s="147"/>
      <c r="AF572" s="147"/>
      <c r="AG572" s="147"/>
      <c r="AH572" s="147"/>
      <c r="AI572" s="147"/>
      <c r="AJ572" s="147"/>
      <c r="AK572" s="147"/>
      <c r="AL572" s="147"/>
      <c r="AM572" s="147"/>
      <c r="AN572" s="147"/>
    </row>
    <row r="573" spans="1:40" ht="45" customHeight="1">
      <c r="A573" s="190">
        <v>4</v>
      </c>
      <c r="B573" s="190" t="s">
        <v>363</v>
      </c>
      <c r="C573" s="190">
        <v>41</v>
      </c>
      <c r="D573" s="191" t="s">
        <v>672</v>
      </c>
      <c r="E573" s="237">
        <v>411</v>
      </c>
      <c r="F573" s="193" t="s">
        <v>675</v>
      </c>
      <c r="G573" s="193" t="s">
        <v>677</v>
      </c>
      <c r="H573" s="212" t="str">
        <f>HYPERLINK("http://bsdd.buildingsmart.org/#concept/details/3RM8jzsnzAJhkyxCGq3f$W","3RM8jzsnzAJhkyxCGq3f$W")</f>
        <v>3RM8jzsnzAJhkyxCGq3f$W</v>
      </c>
      <c r="I573" s="123" t="s">
        <v>5137</v>
      </c>
      <c r="J573" s="195" t="s">
        <v>4410</v>
      </c>
      <c r="K573" s="191" t="s">
        <v>1103</v>
      </c>
      <c r="L573" s="248" t="s">
        <v>4411</v>
      </c>
      <c r="M573" s="210"/>
      <c r="N573" s="203" t="s">
        <v>893</v>
      </c>
      <c r="O573" s="203" t="s">
        <v>895</v>
      </c>
      <c r="P573" s="191" t="s">
        <v>896</v>
      </c>
      <c r="Q573" s="192" t="s">
        <v>759</v>
      </c>
      <c r="R573" s="192" t="s">
        <v>761</v>
      </c>
      <c r="S573" s="206" t="s">
        <v>1036</v>
      </c>
      <c r="T573" s="199"/>
      <c r="U573" s="201"/>
      <c r="V573" s="201"/>
      <c r="W573" s="201"/>
      <c r="X573" s="201"/>
      <c r="Y573" s="201"/>
      <c r="Z573" s="202" t="str">
        <f t="shared" si="0"/>
        <v>RLOM CableCarrierSegments</v>
      </c>
      <c r="AA573" s="174"/>
      <c r="AB573" s="147"/>
      <c r="AC573" s="147"/>
      <c r="AD573" s="147"/>
      <c r="AE573" s="147"/>
      <c r="AF573" s="147"/>
      <c r="AG573" s="147"/>
      <c r="AH573" s="147"/>
      <c r="AI573" s="147"/>
      <c r="AJ573" s="147"/>
      <c r="AK573" s="147"/>
      <c r="AL573" s="147"/>
      <c r="AM573" s="147"/>
      <c r="AN573" s="147"/>
    </row>
    <row r="574" spans="1:40" ht="45" customHeight="1">
      <c r="A574" s="190">
        <v>4</v>
      </c>
      <c r="B574" s="190" t="s">
        <v>363</v>
      </c>
      <c r="C574" s="190">
        <v>41</v>
      </c>
      <c r="D574" s="191" t="s">
        <v>672</v>
      </c>
      <c r="E574" s="237">
        <v>411</v>
      </c>
      <c r="F574" s="193" t="s">
        <v>675</v>
      </c>
      <c r="G574" s="193" t="s">
        <v>677</v>
      </c>
      <c r="H574" s="212" t="str">
        <f>HYPERLINK("http://bsdd.buildingsmart.org/#concept/details/0K6a1oJUH6$RIebkXm5adz","0K6a1oJUH6$RIebkXm5adz")</f>
        <v>0K6a1oJUH6$RIebkXm5adz</v>
      </c>
      <c r="I574" s="123" t="s">
        <v>5138</v>
      </c>
      <c r="J574" s="195" t="s">
        <v>4412</v>
      </c>
      <c r="K574" s="191"/>
      <c r="L574" s="248" t="s">
        <v>4413</v>
      </c>
      <c r="M574" s="210"/>
      <c r="N574" s="203" t="s">
        <v>893</v>
      </c>
      <c r="O574" s="203" t="s">
        <v>895</v>
      </c>
      <c r="P574" s="191" t="s">
        <v>896</v>
      </c>
      <c r="Q574" s="192" t="s">
        <v>759</v>
      </c>
      <c r="R574" s="192" t="s">
        <v>761</v>
      </c>
      <c r="S574" s="206" t="s">
        <v>1036</v>
      </c>
      <c r="T574" s="199"/>
      <c r="U574" s="201"/>
      <c r="V574" s="201"/>
      <c r="W574" s="201"/>
      <c r="X574" s="201"/>
      <c r="Y574" s="201"/>
      <c r="Z574" s="202" t="str">
        <f t="shared" si="0"/>
        <v>RLOM CableCarrierSegments</v>
      </c>
      <c r="AA574" s="174"/>
      <c r="AB574" s="147"/>
      <c r="AC574" s="147"/>
      <c r="AD574" s="147"/>
      <c r="AE574" s="147"/>
      <c r="AF574" s="147"/>
      <c r="AG574" s="147"/>
      <c r="AH574" s="147"/>
      <c r="AI574" s="147"/>
      <c r="AJ574" s="147"/>
      <c r="AK574" s="147"/>
      <c r="AL574" s="147"/>
      <c r="AM574" s="147"/>
      <c r="AN574" s="147"/>
    </row>
    <row r="575" spans="1:40" ht="45" customHeight="1">
      <c r="A575" s="190">
        <v>4</v>
      </c>
      <c r="B575" s="190" t="s">
        <v>363</v>
      </c>
      <c r="C575" s="190">
        <v>41</v>
      </c>
      <c r="D575" s="191" t="s">
        <v>672</v>
      </c>
      <c r="E575" s="237">
        <v>411</v>
      </c>
      <c r="F575" s="193" t="s">
        <v>675</v>
      </c>
      <c r="G575" s="193" t="s">
        <v>677</v>
      </c>
      <c r="H575" s="212" t="str">
        <f>HYPERLINK("http://bsdd.buildingsmart.org/#concept/details/1WS_2qny15UAeTNhb9fO09","1WS_2qny15UAeTNhb9fO09")</f>
        <v>1WS_2qny15UAeTNhb9fO09</v>
      </c>
      <c r="I575" s="123" t="s">
        <v>5139</v>
      </c>
      <c r="J575" s="195" t="s">
        <v>4414</v>
      </c>
      <c r="K575" s="191"/>
      <c r="L575" s="248" t="s">
        <v>4415</v>
      </c>
      <c r="M575" s="210"/>
      <c r="N575" s="203" t="s">
        <v>893</v>
      </c>
      <c r="O575" s="203" t="s">
        <v>895</v>
      </c>
      <c r="P575" s="191" t="s">
        <v>896</v>
      </c>
      <c r="Q575" s="192" t="s">
        <v>759</v>
      </c>
      <c r="R575" s="192" t="s">
        <v>761</v>
      </c>
      <c r="S575" s="206" t="s">
        <v>1036</v>
      </c>
      <c r="T575" s="199"/>
      <c r="U575" s="201"/>
      <c r="V575" s="201"/>
      <c r="W575" s="201"/>
      <c r="X575" s="201"/>
      <c r="Y575" s="201"/>
      <c r="Z575" s="202" t="str">
        <f t="shared" si="0"/>
        <v>RLOM CableCarrierSegments</v>
      </c>
      <c r="AA575" s="174"/>
      <c r="AB575" s="147"/>
      <c r="AC575" s="147"/>
      <c r="AD575" s="147"/>
      <c r="AE575" s="147"/>
      <c r="AF575" s="147"/>
      <c r="AG575" s="147"/>
      <c r="AH575" s="147"/>
      <c r="AI575" s="147"/>
      <c r="AJ575" s="147"/>
      <c r="AK575" s="147"/>
      <c r="AL575" s="147"/>
      <c r="AM575" s="147"/>
      <c r="AN575" s="147"/>
    </row>
    <row r="576" spans="1:40" ht="45" customHeight="1">
      <c r="A576" s="190">
        <v>4</v>
      </c>
      <c r="B576" s="190" t="s">
        <v>363</v>
      </c>
      <c r="C576" s="190">
        <v>41</v>
      </c>
      <c r="D576" s="191" t="s">
        <v>672</v>
      </c>
      <c r="E576" s="237">
        <v>411</v>
      </c>
      <c r="F576" s="193" t="s">
        <v>675</v>
      </c>
      <c r="G576" s="193" t="s">
        <v>677</v>
      </c>
      <c r="H576" s="212" t="str">
        <f>HYPERLINK("http://bsdd.buildingsmart.org/#concept/details/0H2jwsW6z1p9PWzTR4QAek","0H2jwsW6z1p9PWzTR4QAek")</f>
        <v>0H2jwsW6z1p9PWzTR4QAek</v>
      </c>
      <c r="I576" s="123" t="s">
        <v>5140</v>
      </c>
      <c r="J576" s="195" t="s">
        <v>4416</v>
      </c>
      <c r="K576" s="191"/>
      <c r="L576" s="248" t="s">
        <v>4417</v>
      </c>
      <c r="M576" s="210"/>
      <c r="N576" s="203" t="s">
        <v>1135</v>
      </c>
      <c r="O576" s="203" t="s">
        <v>1137</v>
      </c>
      <c r="P576" s="191" t="s">
        <v>1139</v>
      </c>
      <c r="Q576" s="192" t="s">
        <v>1140</v>
      </c>
      <c r="R576" s="192" t="s">
        <v>1141</v>
      </c>
      <c r="S576" s="206" t="s">
        <v>1142</v>
      </c>
      <c r="T576" s="199"/>
      <c r="U576" s="201"/>
      <c r="V576" s="201"/>
      <c r="W576" s="201"/>
      <c r="X576" s="201"/>
      <c r="Y576" s="201"/>
      <c r="Z576" s="202" t="str">
        <f t="shared" si="0"/>
        <v>RLOM CommunicationsAppliances</v>
      </c>
      <c r="AA576" s="174"/>
      <c r="AB576" s="147"/>
      <c r="AC576" s="147"/>
      <c r="AD576" s="147"/>
      <c r="AE576" s="147"/>
      <c r="AF576" s="147"/>
      <c r="AG576" s="147"/>
      <c r="AH576" s="147"/>
      <c r="AI576" s="147"/>
      <c r="AJ576" s="147"/>
      <c r="AK576" s="147"/>
      <c r="AL576" s="147"/>
      <c r="AM576" s="147"/>
      <c r="AN576" s="147"/>
    </row>
    <row r="577" spans="1:40" ht="45" customHeight="1">
      <c r="A577" s="190">
        <v>4</v>
      </c>
      <c r="B577" s="190" t="s">
        <v>363</v>
      </c>
      <c r="C577" s="190">
        <v>41</v>
      </c>
      <c r="D577" s="191" t="s">
        <v>672</v>
      </c>
      <c r="E577" s="237">
        <v>411</v>
      </c>
      <c r="F577" s="193" t="s">
        <v>675</v>
      </c>
      <c r="G577" s="193" t="s">
        <v>677</v>
      </c>
      <c r="H577" s="212" t="str">
        <f>HYPERLINK("http://bsdd.buildingsmart.org/#concept/details/1HhkDUxz9CA95UI8dSliId","1HhkDUxz9CA95UI8dSliId")</f>
        <v>1HhkDUxz9CA95UI8dSliId</v>
      </c>
      <c r="I577" s="123" t="s">
        <v>1170</v>
      </c>
      <c r="J577" s="195" t="s">
        <v>4418</v>
      </c>
      <c r="K577" s="191" t="s">
        <v>1171</v>
      </c>
      <c r="L577" s="248" t="s">
        <v>4419</v>
      </c>
      <c r="M577" s="210"/>
      <c r="N577" s="203" t="s">
        <v>893</v>
      </c>
      <c r="O577" s="203" t="s">
        <v>895</v>
      </c>
      <c r="P577" s="191" t="s">
        <v>896</v>
      </c>
      <c r="Q577" s="192" t="s">
        <v>759</v>
      </c>
      <c r="R577" s="192" t="s">
        <v>761</v>
      </c>
      <c r="S577" s="206" t="s">
        <v>1036</v>
      </c>
      <c r="T577" s="199"/>
      <c r="U577" s="201"/>
      <c r="V577" s="201"/>
      <c r="W577" s="201"/>
      <c r="X577" s="201"/>
      <c r="Y577" s="201"/>
      <c r="Z577" s="202" t="str">
        <f t="shared" si="0"/>
        <v>RLOM CableCarrierSegments</v>
      </c>
      <c r="AA577" s="174"/>
      <c r="AB577" s="147"/>
      <c r="AC577" s="147"/>
      <c r="AD577" s="147"/>
      <c r="AE577" s="147"/>
      <c r="AF577" s="147"/>
      <c r="AG577" s="147"/>
      <c r="AH577" s="147"/>
      <c r="AI577" s="147"/>
      <c r="AJ577" s="147"/>
      <c r="AK577" s="147"/>
      <c r="AL577" s="147"/>
      <c r="AM577" s="147"/>
      <c r="AN577" s="147"/>
    </row>
    <row r="578" spans="1:40" ht="45" customHeight="1">
      <c r="A578" s="190">
        <v>4</v>
      </c>
      <c r="B578" s="190" t="s">
        <v>363</v>
      </c>
      <c r="C578" s="190">
        <v>41</v>
      </c>
      <c r="D578" s="191" t="s">
        <v>672</v>
      </c>
      <c r="E578" s="237">
        <v>411</v>
      </c>
      <c r="F578" s="193" t="s">
        <v>675</v>
      </c>
      <c r="G578" s="193" t="s">
        <v>677</v>
      </c>
      <c r="H578" s="212" t="str">
        <f>HYPERLINK("http://bsdd.buildingsmart.org/#concept/details/1Zl1PSGKD1GenAmIFrd1JJ","1Zl1PSGKD1GenAmIFrd1JJ")</f>
        <v>1Zl1PSGKD1GenAmIFrd1JJ</v>
      </c>
      <c r="I578" s="123" t="s">
        <v>1182</v>
      </c>
      <c r="J578" s="195" t="s">
        <v>4420</v>
      </c>
      <c r="K578" s="191"/>
      <c r="L578" s="248" t="s">
        <v>4421</v>
      </c>
      <c r="M578" s="210"/>
      <c r="N578" s="203" t="s">
        <v>1206</v>
      </c>
      <c r="O578" s="203" t="s">
        <v>1207</v>
      </c>
      <c r="P578" s="191" t="s">
        <v>1208</v>
      </c>
      <c r="Q578" s="192" t="s">
        <v>1209</v>
      </c>
      <c r="R578" s="192" t="s">
        <v>881</v>
      </c>
      <c r="S578" s="206" t="s">
        <v>882</v>
      </c>
      <c r="T578" s="199"/>
      <c r="U578" s="201"/>
      <c r="V578" s="201"/>
      <c r="W578" s="201"/>
      <c r="X578" s="201"/>
      <c r="Y578" s="201"/>
      <c r="Z578" s="202" t="str">
        <f t="shared" si="0"/>
        <v>RLOM CableSegments</v>
      </c>
      <c r="AA578" s="174"/>
      <c r="AB578" s="147"/>
      <c r="AC578" s="147"/>
      <c r="AD578" s="147"/>
      <c r="AE578" s="147"/>
      <c r="AF578" s="147"/>
      <c r="AG578" s="147"/>
      <c r="AH578" s="147"/>
      <c r="AI578" s="147"/>
      <c r="AJ578" s="147"/>
      <c r="AK578" s="147"/>
      <c r="AL578" s="147"/>
      <c r="AM578" s="147"/>
      <c r="AN578" s="147"/>
    </row>
    <row r="579" spans="1:40" ht="45" customHeight="1">
      <c r="A579" s="190">
        <v>4</v>
      </c>
      <c r="B579" s="190" t="s">
        <v>363</v>
      </c>
      <c r="C579" s="190">
        <v>41</v>
      </c>
      <c r="D579" s="191" t="s">
        <v>672</v>
      </c>
      <c r="E579" s="237">
        <v>411</v>
      </c>
      <c r="F579" s="193" t="s">
        <v>675</v>
      </c>
      <c r="G579" s="193" t="s">
        <v>677</v>
      </c>
      <c r="H579" s="212" t="str">
        <f>HYPERLINK("http://bsdd.buildingsmart.org/#concept/details/3ogy9Wa5v4nxrkF1SR6o3z","3ogy9Wa5v4nxrkF1SR6o3z")</f>
        <v>3ogy9Wa5v4nxrkF1SR6o3z</v>
      </c>
      <c r="I579" s="123" t="s">
        <v>1220</v>
      </c>
      <c r="J579" s="195" t="s">
        <v>4422</v>
      </c>
      <c r="K579" s="191"/>
      <c r="L579" s="248" t="s">
        <v>4423</v>
      </c>
      <c r="M579" s="210"/>
      <c r="N579" s="203" t="s">
        <v>722</v>
      </c>
      <c r="O579" s="203" t="s">
        <v>724</v>
      </c>
      <c r="P579" s="191" t="s">
        <v>726</v>
      </c>
      <c r="Q579" s="192" t="s">
        <v>1209</v>
      </c>
      <c r="R579" s="192" t="s">
        <v>881</v>
      </c>
      <c r="S579" s="206" t="s">
        <v>882</v>
      </c>
      <c r="T579" s="199" t="s">
        <v>1225</v>
      </c>
      <c r="U579" s="201"/>
      <c r="V579" s="201"/>
      <c r="W579" s="201"/>
      <c r="X579" s="201"/>
      <c r="Y579" s="201"/>
      <c r="Z579" s="202" t="str">
        <f t="shared" si="0"/>
        <v>RLOM CableSegments</v>
      </c>
      <c r="AA579" s="174"/>
      <c r="AB579" s="147"/>
      <c r="AC579" s="147"/>
      <c r="AD579" s="147"/>
      <c r="AE579" s="147"/>
      <c r="AF579" s="147"/>
      <c r="AG579" s="147"/>
      <c r="AH579" s="147"/>
      <c r="AI579" s="147"/>
      <c r="AJ579" s="147"/>
      <c r="AK579" s="147"/>
      <c r="AL579" s="147"/>
      <c r="AM579" s="147"/>
      <c r="AN579" s="147"/>
    </row>
    <row r="580" spans="1:40" ht="27" customHeight="1">
      <c r="A580" s="190">
        <v>4</v>
      </c>
      <c r="B580" s="190" t="s">
        <v>363</v>
      </c>
      <c r="C580" s="190">
        <v>41</v>
      </c>
      <c r="D580" s="191" t="s">
        <v>672</v>
      </c>
      <c r="E580" s="237">
        <v>412</v>
      </c>
      <c r="F580" s="193" t="s">
        <v>1230</v>
      </c>
      <c r="G580" s="193" t="s">
        <v>1232</v>
      </c>
      <c r="H580" s="212" t="str">
        <f>HYPERLINK("http://bsdd.buildingsmart.org/#concept/details/0d6zf5CALAj8Pn9rH5K1IB","0d6zf5CALAj8Pn9rH5K1IB")</f>
        <v>0d6zf5CALAj8Pn9rH5K1IB</v>
      </c>
      <c r="I580" s="123" t="s">
        <v>1233</v>
      </c>
      <c r="J580" s="195" t="s">
        <v>4424</v>
      </c>
      <c r="K580" s="191"/>
      <c r="L580" s="248" t="s">
        <v>4425</v>
      </c>
      <c r="M580" s="210"/>
      <c r="N580" s="203" t="s">
        <v>1236</v>
      </c>
      <c r="O580" s="203" t="s">
        <v>1237</v>
      </c>
      <c r="P580" s="191" t="s">
        <v>1239</v>
      </c>
      <c r="Q580" s="192" t="s">
        <v>1240</v>
      </c>
      <c r="R580" s="192" t="s">
        <v>1241</v>
      </c>
      <c r="S580" s="206" t="s">
        <v>1242</v>
      </c>
      <c r="T580" s="199"/>
      <c r="U580" s="201"/>
      <c r="V580" s="201"/>
      <c r="W580" s="201"/>
      <c r="X580" s="201"/>
      <c r="Y580" s="201"/>
      <c r="Z580" s="202" t="str">
        <f t="shared" si="0"/>
        <v>RLOM UnitaryControlElements</v>
      </c>
      <c r="AA580" s="174"/>
      <c r="AB580" s="147"/>
      <c r="AC580" s="147"/>
      <c r="AD580" s="147"/>
      <c r="AE580" s="147"/>
      <c r="AF580" s="147"/>
      <c r="AG580" s="147"/>
      <c r="AH580" s="147"/>
      <c r="AI580" s="147"/>
      <c r="AJ580" s="147"/>
      <c r="AK580" s="147"/>
      <c r="AL580" s="147"/>
      <c r="AM580" s="147"/>
      <c r="AN580" s="147"/>
    </row>
    <row r="581" spans="1:40" ht="18" customHeight="1">
      <c r="A581" s="190">
        <v>4</v>
      </c>
      <c r="B581" s="190" t="s">
        <v>363</v>
      </c>
      <c r="C581" s="190">
        <v>41</v>
      </c>
      <c r="D581" s="191" t="s">
        <v>672</v>
      </c>
      <c r="E581" s="237">
        <v>412</v>
      </c>
      <c r="F581" s="193" t="s">
        <v>1230</v>
      </c>
      <c r="G581" s="193" t="s">
        <v>1232</v>
      </c>
      <c r="H581" s="212" t="str">
        <f>HYPERLINK("http://bsdd.buildingsmart.org/#concept/details/2hLFIKyPzAb9R$EYtc613J","2hLFIKyPzAb9R$EYtc613J")</f>
        <v>2hLFIKyPzAb9R$EYtc613J</v>
      </c>
      <c r="I581" s="123" t="s">
        <v>5141</v>
      </c>
      <c r="J581" s="195" t="s">
        <v>4426</v>
      </c>
      <c r="K581" s="191" t="s">
        <v>1255</v>
      </c>
      <c r="L581" s="248" t="s">
        <v>4427</v>
      </c>
      <c r="M581" s="210"/>
      <c r="N581" s="203"/>
      <c r="O581" s="203"/>
      <c r="P581" s="191"/>
      <c r="Q581" s="192" t="s">
        <v>1259</v>
      </c>
      <c r="R581" s="192" t="s">
        <v>1260</v>
      </c>
      <c r="S581" s="206" t="s">
        <v>1265</v>
      </c>
      <c r="T581" s="199"/>
      <c r="U581" s="201"/>
      <c r="V581" s="201"/>
      <c r="W581" s="201"/>
      <c r="X581" s="201"/>
      <c r="Y581" s="201"/>
      <c r="Z581" s="202" t="str">
        <f t="shared" si="0"/>
        <v>RLOM CableFittings</v>
      </c>
      <c r="AA581" s="174"/>
      <c r="AB581" s="147"/>
      <c r="AC581" s="147"/>
      <c r="AD581" s="147"/>
      <c r="AE581" s="147"/>
      <c r="AF581" s="147"/>
      <c r="AG581" s="147"/>
      <c r="AH581" s="147"/>
      <c r="AI581" s="147"/>
      <c r="AJ581" s="147"/>
      <c r="AK581" s="147"/>
      <c r="AL581" s="147"/>
      <c r="AM581" s="147"/>
      <c r="AN581" s="147"/>
    </row>
    <row r="582" spans="1:40" ht="27" customHeight="1">
      <c r="A582" s="190">
        <v>4</v>
      </c>
      <c r="B582" s="190" t="s">
        <v>363</v>
      </c>
      <c r="C582" s="190">
        <v>41</v>
      </c>
      <c r="D582" s="191" t="s">
        <v>672</v>
      </c>
      <c r="E582" s="237">
        <v>412</v>
      </c>
      <c r="F582" s="193"/>
      <c r="G582" s="193"/>
      <c r="H582" s="212" t="str">
        <f>HYPERLINK("http://bsdd.buildingsmart.org/#concept/details/0ICx3mvoX6oRoH$rvrBtR6","0ICx3mvoX6oRoH$rvrBtR6")</f>
        <v>0ICx3mvoX6oRoH$rvrBtR6</v>
      </c>
      <c r="I582" s="123" t="s">
        <v>1273</v>
      </c>
      <c r="J582" s="195" t="s">
        <v>4428</v>
      </c>
      <c r="K582" s="191"/>
      <c r="L582" s="249" t="str">
        <f ca="1">IFERROR(__xludf.DUMMYFUNCTION(GOOGLETRANSLATE(J582,"no","en")),"earth conductors")</f>
        <v>earth conductors</v>
      </c>
      <c r="M582" s="210"/>
      <c r="N582" s="203" t="s">
        <v>1275</v>
      </c>
      <c r="O582" s="203" t="s">
        <v>1276</v>
      </c>
      <c r="P582" s="191" t="s">
        <v>1277</v>
      </c>
      <c r="Q582" s="192" t="s">
        <v>1209</v>
      </c>
      <c r="R582" s="192"/>
      <c r="S582" s="206"/>
      <c r="T582" s="199"/>
      <c r="U582" s="201"/>
      <c r="V582" s="201"/>
      <c r="W582" s="201"/>
      <c r="X582" s="201"/>
      <c r="Y582" s="201"/>
      <c r="Z582" s="202" t="str">
        <f t="shared" si="0"/>
        <v>RLOM CableSegments</v>
      </c>
      <c r="AA582" s="174"/>
      <c r="AB582" s="147"/>
      <c r="AC582" s="147"/>
      <c r="AD582" s="147"/>
      <c r="AE582" s="147"/>
      <c r="AF582" s="147"/>
      <c r="AG582" s="147"/>
      <c r="AH582" s="147"/>
      <c r="AI582" s="147"/>
      <c r="AJ582" s="147"/>
      <c r="AK582" s="147"/>
      <c r="AL582" s="147"/>
      <c r="AM582" s="147"/>
      <c r="AN582" s="147"/>
    </row>
    <row r="583" spans="1:40" ht="27" customHeight="1">
      <c r="A583" s="190">
        <v>4</v>
      </c>
      <c r="B583" s="190" t="s">
        <v>363</v>
      </c>
      <c r="C583" s="190">
        <v>41</v>
      </c>
      <c r="D583" s="191" t="s">
        <v>672</v>
      </c>
      <c r="E583" s="237">
        <v>412</v>
      </c>
      <c r="F583" s="193" t="s">
        <v>1230</v>
      </c>
      <c r="G583" s="193" t="s">
        <v>1232</v>
      </c>
      <c r="H583" s="212" t="str">
        <f>HYPERLINK("http://bsdd.buildingsmart.org/#concept/details/3des0BOCrELRpyUMYxynxy","3des0BOCrELRpyUMYxynxy")</f>
        <v>3des0BOCrELRpyUMYxynxy</v>
      </c>
      <c r="I583" s="123" t="s">
        <v>1278</v>
      </c>
      <c r="J583" s="195" t="s">
        <v>4429</v>
      </c>
      <c r="K583" s="191"/>
      <c r="L583" s="248" t="s">
        <v>4430</v>
      </c>
      <c r="M583" s="210"/>
      <c r="N583" s="203" t="s">
        <v>1280</v>
      </c>
      <c r="O583" s="203" t="s">
        <v>1281</v>
      </c>
      <c r="P583" s="191" t="s">
        <v>1282</v>
      </c>
      <c r="Q583" s="192" t="s">
        <v>1209</v>
      </c>
      <c r="R583" s="192"/>
      <c r="S583" s="206"/>
      <c r="T583" s="199"/>
      <c r="U583" s="201"/>
      <c r="V583" s="201"/>
      <c r="W583" s="201"/>
      <c r="X583" s="201"/>
      <c r="Y583" s="201"/>
      <c r="Z583" s="202" t="str">
        <f t="shared" si="0"/>
        <v>RLOM CableSegments</v>
      </c>
      <c r="AA583" s="174"/>
      <c r="AB583" s="147"/>
      <c r="AC583" s="147"/>
      <c r="AD583" s="147"/>
      <c r="AE583" s="147"/>
      <c r="AF583" s="147"/>
      <c r="AG583" s="147"/>
      <c r="AH583" s="147"/>
      <c r="AI583" s="147"/>
      <c r="AJ583" s="147"/>
      <c r="AK583" s="147"/>
      <c r="AL583" s="147"/>
      <c r="AM583" s="147"/>
      <c r="AN583" s="147"/>
    </row>
    <row r="584" spans="1:40" ht="27" customHeight="1">
      <c r="A584" s="190">
        <v>4</v>
      </c>
      <c r="B584" s="190" t="s">
        <v>363</v>
      </c>
      <c r="C584" s="190">
        <v>41</v>
      </c>
      <c r="D584" s="191" t="s">
        <v>672</v>
      </c>
      <c r="E584" s="237">
        <v>412</v>
      </c>
      <c r="F584" s="193" t="s">
        <v>1230</v>
      </c>
      <c r="G584" s="193" t="s">
        <v>1232</v>
      </c>
      <c r="H584" s="212" t="str">
        <f>HYPERLINK("http://bsdd.buildingsmart.org/#concept/details/0LIxLy4i52AuxlB_g8ICqP","0LIxLy4i52AuxlB_g8ICqP")</f>
        <v>0LIxLy4i52AuxlB_g8ICqP</v>
      </c>
      <c r="I584" s="123" t="s">
        <v>1284</v>
      </c>
      <c r="J584" s="195" t="s">
        <v>4431</v>
      </c>
      <c r="K584" s="191"/>
      <c r="L584" s="248" t="s">
        <v>4432</v>
      </c>
      <c r="M584" s="210"/>
      <c r="N584" s="203" t="s">
        <v>1280</v>
      </c>
      <c r="O584" s="203" t="s">
        <v>1281</v>
      </c>
      <c r="P584" s="191" t="s">
        <v>1282</v>
      </c>
      <c r="Q584" s="192" t="s">
        <v>1209</v>
      </c>
      <c r="R584" s="192" t="s">
        <v>881</v>
      </c>
      <c r="S584" s="206" t="s">
        <v>1288</v>
      </c>
      <c r="T584" s="199"/>
      <c r="U584" s="201"/>
      <c r="V584" s="201"/>
      <c r="W584" s="201"/>
      <c r="X584" s="201"/>
      <c r="Y584" s="201"/>
      <c r="Z584" s="202" t="str">
        <f t="shared" si="0"/>
        <v>RLOM CableSegments</v>
      </c>
      <c r="AA584" s="174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</row>
    <row r="585" spans="1:40" ht="27" customHeight="1">
      <c r="A585" s="190">
        <v>4</v>
      </c>
      <c r="B585" s="190" t="s">
        <v>363</v>
      </c>
      <c r="C585" s="190">
        <v>41</v>
      </c>
      <c r="D585" s="191" t="s">
        <v>672</v>
      </c>
      <c r="E585" s="237">
        <v>412</v>
      </c>
      <c r="F585" s="193" t="s">
        <v>1230</v>
      </c>
      <c r="G585" s="193" t="s">
        <v>1232</v>
      </c>
      <c r="H585" s="212" t="str">
        <f>HYPERLINK("http://bsdd.buildingsmart.org/#concept/details/3vHb5goT0Hsm00051Mm008","3vHb5goT0Hsm00051Mm008")</f>
        <v>3vHb5goT0Hsm00051Mm008</v>
      </c>
      <c r="I585" s="123" t="s">
        <v>1289</v>
      </c>
      <c r="J585" s="195" t="s">
        <v>4433</v>
      </c>
      <c r="K585" s="191"/>
      <c r="L585" s="248" t="s">
        <v>4434</v>
      </c>
      <c r="M585" s="210"/>
      <c r="N585" s="203" t="s">
        <v>1275</v>
      </c>
      <c r="O585" s="203" t="s">
        <v>1276</v>
      </c>
      <c r="P585" s="191" t="s">
        <v>1277</v>
      </c>
      <c r="Q585" s="192" t="s">
        <v>1209</v>
      </c>
      <c r="R585" s="192" t="s">
        <v>881</v>
      </c>
      <c r="S585" s="206" t="s">
        <v>1288</v>
      </c>
      <c r="T585" s="199"/>
      <c r="U585" s="201"/>
      <c r="V585" s="201"/>
      <c r="W585" s="201"/>
      <c r="X585" s="201"/>
      <c r="Y585" s="201"/>
      <c r="Z585" s="202" t="str">
        <f t="shared" si="0"/>
        <v>RLOM CableSegments</v>
      </c>
      <c r="AA585" s="174"/>
      <c r="AB585" s="147"/>
      <c r="AC585" s="147"/>
      <c r="AD585" s="147"/>
      <c r="AE585" s="147"/>
      <c r="AF585" s="147"/>
      <c r="AG585" s="147"/>
      <c r="AH585" s="147"/>
      <c r="AI585" s="147"/>
      <c r="AJ585" s="147"/>
      <c r="AK585" s="147"/>
      <c r="AL585" s="147"/>
      <c r="AM585" s="147"/>
      <c r="AN585" s="147"/>
    </row>
    <row r="586" spans="1:40" ht="27" customHeight="1">
      <c r="A586" s="190">
        <v>4</v>
      </c>
      <c r="B586" s="190" t="s">
        <v>363</v>
      </c>
      <c r="C586" s="190">
        <v>41</v>
      </c>
      <c r="D586" s="191" t="s">
        <v>672</v>
      </c>
      <c r="E586" s="237">
        <v>413</v>
      </c>
      <c r="F586" s="193" t="s">
        <v>1292</v>
      </c>
      <c r="G586" s="193" t="s">
        <v>1293</v>
      </c>
      <c r="H586" s="212" t="str">
        <f>HYPERLINK("http://bsdd.buildingsmart.org/#concept/details/1VZFYnjtHEg828SaIpJ1v5","1VZFYnjtHEg828SaIpJ1v5")</f>
        <v>1VZFYnjtHEg828SaIpJ1v5</v>
      </c>
      <c r="I586" s="123" t="s">
        <v>1294</v>
      </c>
      <c r="J586" s="195" t="s">
        <v>4435</v>
      </c>
      <c r="K586" s="191"/>
      <c r="L586" s="248" t="s">
        <v>4436</v>
      </c>
      <c r="M586" s="210"/>
      <c r="N586" s="203" t="s">
        <v>1297</v>
      </c>
      <c r="O586" s="203" t="s">
        <v>1294</v>
      </c>
      <c r="P586" s="191"/>
      <c r="Q586" s="192" t="s">
        <v>1209</v>
      </c>
      <c r="R586" s="192" t="s">
        <v>881</v>
      </c>
      <c r="S586" s="206" t="s">
        <v>882</v>
      </c>
      <c r="T586" s="199"/>
      <c r="U586" s="238"/>
      <c r="V586" s="201"/>
      <c r="W586" s="201"/>
      <c r="X586" s="201"/>
      <c r="Y586" s="201"/>
      <c r="Z586" s="202" t="str">
        <f t="shared" si="0"/>
        <v>RLOM CableSegments</v>
      </c>
      <c r="AA586" s="174"/>
      <c r="AB586" s="147"/>
      <c r="AC586" s="147"/>
      <c r="AD586" s="147"/>
      <c r="AE586" s="147"/>
      <c r="AF586" s="147"/>
      <c r="AG586" s="147"/>
      <c r="AH586" s="147"/>
      <c r="AI586" s="147"/>
      <c r="AJ586" s="147"/>
      <c r="AK586" s="147"/>
      <c r="AL586" s="147"/>
      <c r="AM586" s="147"/>
      <c r="AN586" s="147"/>
    </row>
    <row r="587" spans="1:40" ht="45" customHeight="1">
      <c r="A587" s="190">
        <v>4</v>
      </c>
      <c r="B587" s="190" t="s">
        <v>363</v>
      </c>
      <c r="C587" s="190">
        <v>41</v>
      </c>
      <c r="D587" s="191" t="s">
        <v>672</v>
      </c>
      <c r="E587" s="237">
        <v>414</v>
      </c>
      <c r="F587" s="193" t="s">
        <v>1317</v>
      </c>
      <c r="G587" s="193" t="s">
        <v>1320</v>
      </c>
      <c r="H587" s="212" t="str">
        <f>HYPERLINK("http://bsdd.buildingsmart.org/#concept/details/1v6W_KVKD3f97kA$_kaIdb","1v6W_KVKD3f97kA$_kaIdb")</f>
        <v>1v6W_KVKD3f97kA$_kaIdb</v>
      </c>
      <c r="I587" s="123" t="s">
        <v>1321</v>
      </c>
      <c r="J587" s="195" t="s">
        <v>4437</v>
      </c>
      <c r="K587" s="191"/>
      <c r="L587" s="248" t="s">
        <v>4438</v>
      </c>
      <c r="M587" s="210"/>
      <c r="N587" s="203"/>
      <c r="O587" s="203"/>
      <c r="P587" s="191"/>
      <c r="Q587" s="192" t="s">
        <v>1259</v>
      </c>
      <c r="R587" s="192" t="s">
        <v>1260</v>
      </c>
      <c r="S587" s="206" t="s">
        <v>1265</v>
      </c>
      <c r="T587" s="199"/>
      <c r="U587" s="201"/>
      <c r="V587" s="201"/>
      <c r="W587" s="201"/>
      <c r="X587" s="201"/>
      <c r="Y587" s="201"/>
      <c r="Z587" s="202" t="str">
        <f t="shared" si="0"/>
        <v>RLOM CableFittings</v>
      </c>
      <c r="AA587" s="174"/>
      <c r="AB587" s="147"/>
      <c r="AC587" s="147"/>
      <c r="AD587" s="147"/>
      <c r="AE587" s="147"/>
      <c r="AF587" s="147"/>
      <c r="AG587" s="147"/>
      <c r="AH587" s="147"/>
      <c r="AI587" s="147"/>
      <c r="AJ587" s="147"/>
      <c r="AK587" s="147"/>
      <c r="AL587" s="147"/>
      <c r="AM587" s="147"/>
      <c r="AN587" s="147"/>
    </row>
    <row r="588" spans="1:40" ht="45" customHeight="1">
      <c r="A588" s="190">
        <v>4</v>
      </c>
      <c r="B588" s="190" t="s">
        <v>363</v>
      </c>
      <c r="C588" s="190">
        <v>41</v>
      </c>
      <c r="D588" s="191" t="s">
        <v>672</v>
      </c>
      <c r="E588" s="237">
        <v>414</v>
      </c>
      <c r="F588" s="193" t="s">
        <v>1317</v>
      </c>
      <c r="G588" s="193" t="s">
        <v>1320</v>
      </c>
      <c r="H588" s="212" t="str">
        <f>HYPERLINK("http://bsdd.buildingsmart.org/#concept/details/1cPlROVvrFOwhtwczi0WHF","1cPlROVvrFOwhtwczi0WHF")</f>
        <v>1cPlROVvrFOwhtwczi0WHF</v>
      </c>
      <c r="I588" s="123" t="s">
        <v>1329</v>
      </c>
      <c r="J588" s="195" t="s">
        <v>4439</v>
      </c>
      <c r="K588" s="191"/>
      <c r="L588" s="248" t="s">
        <v>4440</v>
      </c>
      <c r="M588" s="210"/>
      <c r="N588" s="203"/>
      <c r="O588" s="203"/>
      <c r="P588" s="191"/>
      <c r="Q588" s="192" t="s">
        <v>759</v>
      </c>
      <c r="R588" s="192" t="s">
        <v>761</v>
      </c>
      <c r="S588" s="206" t="s">
        <v>1036</v>
      </c>
      <c r="T588" s="199"/>
      <c r="U588" s="201"/>
      <c r="V588" s="201"/>
      <c r="W588" s="201"/>
      <c r="X588" s="201"/>
      <c r="Y588" s="201"/>
      <c r="Z588" s="202" t="str">
        <f t="shared" si="0"/>
        <v>RLOM CableCarrierSegments</v>
      </c>
      <c r="AA588" s="174"/>
      <c r="AB588" s="147"/>
      <c r="AC588" s="147"/>
      <c r="AD588" s="147"/>
      <c r="AE588" s="147"/>
      <c r="AF588" s="147"/>
      <c r="AG588" s="147"/>
      <c r="AH588" s="147"/>
      <c r="AI588" s="147"/>
      <c r="AJ588" s="147"/>
      <c r="AK588" s="147"/>
      <c r="AL588" s="147"/>
      <c r="AM588" s="147"/>
      <c r="AN588" s="147"/>
    </row>
    <row r="589" spans="1:40" ht="45" customHeight="1">
      <c r="A589" s="190">
        <v>4</v>
      </c>
      <c r="B589" s="190" t="s">
        <v>363</v>
      </c>
      <c r="C589" s="190">
        <v>41</v>
      </c>
      <c r="D589" s="191" t="s">
        <v>672</v>
      </c>
      <c r="E589" s="237">
        <v>414</v>
      </c>
      <c r="F589" s="193" t="s">
        <v>1317</v>
      </c>
      <c r="G589" s="193" t="s">
        <v>1320</v>
      </c>
      <c r="H589" s="212" t="str">
        <f>HYPERLINK("http://bsdd.buildingsmart.org/#concept/details/0WOKp89$50GgMQP8MZGP8k","0WOKp89$50GgMQP8MZGP8k")</f>
        <v>0WOKp89$50GgMQP8MZGP8k</v>
      </c>
      <c r="I589" s="123" t="s">
        <v>1331</v>
      </c>
      <c r="J589" s="195" t="s">
        <v>4441</v>
      </c>
      <c r="K589" s="191"/>
      <c r="L589" s="248" t="s">
        <v>4442</v>
      </c>
      <c r="M589" s="210"/>
      <c r="N589" s="203" t="s">
        <v>893</v>
      </c>
      <c r="O589" s="203" t="s">
        <v>895</v>
      </c>
      <c r="P589" s="191" t="s">
        <v>896</v>
      </c>
      <c r="Q589" s="192" t="s">
        <v>759</v>
      </c>
      <c r="R589" s="192" t="s">
        <v>761</v>
      </c>
      <c r="S589" s="206" t="s">
        <v>1036</v>
      </c>
      <c r="T589" s="199"/>
      <c r="U589" s="201"/>
      <c r="V589" s="201"/>
      <c r="W589" s="201"/>
      <c r="X589" s="201"/>
      <c r="Y589" s="201"/>
      <c r="Z589" s="202" t="str">
        <f t="shared" si="0"/>
        <v>RLOM CableCarrierSegments</v>
      </c>
      <c r="AA589" s="174"/>
      <c r="AB589" s="147"/>
      <c r="AC589" s="147"/>
      <c r="AD589" s="147"/>
      <c r="AE589" s="147"/>
      <c r="AF589" s="147"/>
      <c r="AG589" s="147"/>
      <c r="AH589" s="147"/>
      <c r="AI589" s="147"/>
      <c r="AJ589" s="147"/>
      <c r="AK589" s="147"/>
      <c r="AL589" s="147"/>
      <c r="AM589" s="147"/>
      <c r="AN589" s="147"/>
    </row>
    <row r="590" spans="1:40" ht="45" customHeight="1">
      <c r="A590" s="190">
        <v>4</v>
      </c>
      <c r="B590" s="190" t="s">
        <v>363</v>
      </c>
      <c r="C590" s="190">
        <v>41</v>
      </c>
      <c r="D590" s="191" t="s">
        <v>672</v>
      </c>
      <c r="E590" s="237">
        <v>414</v>
      </c>
      <c r="F590" s="193" t="s">
        <v>1317</v>
      </c>
      <c r="G590" s="193" t="s">
        <v>1320</v>
      </c>
      <c r="H590" s="212" t="str">
        <f>HYPERLINK("http://bsdd.buildingsmart.org/#concept/details/1gGkO0b2eHtW00025QrE$V","1gGkO0b2eHtW00025QrE$V")</f>
        <v>1gGkO0b2eHtW00025QrE$V</v>
      </c>
      <c r="I590" s="123" t="s">
        <v>1341</v>
      </c>
      <c r="J590" s="195" t="s">
        <v>4443</v>
      </c>
      <c r="K590" s="191"/>
      <c r="L590" s="248" t="s">
        <v>4444</v>
      </c>
      <c r="M590" s="210"/>
      <c r="N590" s="203" t="s">
        <v>1344</v>
      </c>
      <c r="O590" s="203" t="s">
        <v>1346</v>
      </c>
      <c r="P590" s="191" t="s">
        <v>1341</v>
      </c>
      <c r="Q590" s="192" t="s">
        <v>1347</v>
      </c>
      <c r="R590" s="192" t="s">
        <v>1348</v>
      </c>
      <c r="S590" s="206" t="s">
        <v>1349</v>
      </c>
      <c r="T590" s="199"/>
      <c r="U590" s="201"/>
      <c r="V590" s="201"/>
      <c r="W590" s="201"/>
      <c r="X590" s="201"/>
      <c r="Y590" s="201"/>
      <c r="Z590" s="202" t="str">
        <f t="shared" si="0"/>
        <v>RLOM Outlets</v>
      </c>
      <c r="AA590" s="174"/>
      <c r="AB590" s="147"/>
      <c r="AC590" s="147"/>
      <c r="AD590" s="147"/>
      <c r="AE590" s="147"/>
      <c r="AF590" s="147"/>
      <c r="AG590" s="147"/>
      <c r="AH590" s="147"/>
      <c r="AI590" s="147"/>
      <c r="AJ590" s="147"/>
      <c r="AK590" s="147"/>
      <c r="AL590" s="147"/>
      <c r="AM590" s="147"/>
      <c r="AN590" s="147"/>
    </row>
    <row r="591" spans="1:40" ht="18" customHeight="1">
      <c r="A591" s="190">
        <v>4</v>
      </c>
      <c r="B591" s="190" t="s">
        <v>363</v>
      </c>
      <c r="C591" s="190">
        <v>41</v>
      </c>
      <c r="D591" s="191" t="s">
        <v>672</v>
      </c>
      <c r="E591" s="237">
        <v>419</v>
      </c>
      <c r="F591" s="193"/>
      <c r="G591" s="193"/>
      <c r="H591" s="212" t="str">
        <f>HYPERLINK("http://bsdd.buildingsmart.org/#concept/details/3xupOzTl94EgwA4U3vd3q6","3xupOzTl94EgwA4U3vd3q6")</f>
        <v>3xupOzTl94EgwA4U3vd3q6</v>
      </c>
      <c r="I591" s="123" t="s">
        <v>5142</v>
      </c>
      <c r="J591" s="195" t="s">
        <v>4445</v>
      </c>
      <c r="K591" s="191"/>
      <c r="L591" s="248" t="s">
        <v>4446</v>
      </c>
      <c r="M591" s="210"/>
      <c r="N591" s="203"/>
      <c r="O591" s="203"/>
      <c r="P591" s="191"/>
      <c r="Q591" s="192" t="s">
        <v>1034</v>
      </c>
      <c r="R591" s="192" t="s">
        <v>1035</v>
      </c>
      <c r="S591" s="206" t="s">
        <v>1037</v>
      </c>
      <c r="T591" s="199"/>
      <c r="U591" s="201"/>
      <c r="V591" s="201"/>
      <c r="W591" s="201"/>
      <c r="X591" s="201"/>
      <c r="Y591" s="201"/>
      <c r="Z591" s="202" t="str">
        <f t="shared" si="0"/>
        <v>RLOM Coverings</v>
      </c>
      <c r="AA591" s="174"/>
      <c r="AB591" s="147"/>
      <c r="AC591" s="147"/>
      <c r="AD591" s="147"/>
      <c r="AE591" s="147"/>
      <c r="AF591" s="147"/>
      <c r="AG591" s="147"/>
      <c r="AH591" s="147"/>
      <c r="AI591" s="147"/>
      <c r="AJ591" s="147"/>
      <c r="AK591" s="147"/>
      <c r="AL591" s="147"/>
      <c r="AM591" s="147"/>
      <c r="AN591" s="147"/>
    </row>
    <row r="592" spans="1:40" ht="12" customHeight="1">
      <c r="A592" s="190">
        <v>4</v>
      </c>
      <c r="B592" s="190" t="s">
        <v>363</v>
      </c>
      <c r="C592" s="190">
        <v>42</v>
      </c>
      <c r="D592" s="191" t="s">
        <v>1368</v>
      </c>
      <c r="E592" s="237">
        <v>421</v>
      </c>
      <c r="F592" s="193" t="s">
        <v>1373</v>
      </c>
      <c r="G592" s="193"/>
      <c r="H592" s="212" t="str">
        <f>HYPERLINK("http://bsdd.buildingsmart.org/#concept/details/3C3mrpLdz1wv4$Ddq6CJUj","3C3mrpLdz1wv4$Ddq6CJUj")</f>
        <v>3C3mrpLdz1wv4$Ddq6CJUj</v>
      </c>
      <c r="I592" s="123" t="s">
        <v>1377</v>
      </c>
      <c r="J592" s="195" t="s">
        <v>4447</v>
      </c>
      <c r="K592" s="191" t="s">
        <v>1379</v>
      </c>
      <c r="L592" s="248" t="s">
        <v>4448</v>
      </c>
      <c r="M592" s="210"/>
      <c r="N592" s="203"/>
      <c r="O592" s="203"/>
      <c r="P592" s="191"/>
      <c r="Q592" s="192" t="s">
        <v>1209</v>
      </c>
      <c r="R592" s="192" t="s">
        <v>881</v>
      </c>
      <c r="S592" s="206" t="s">
        <v>1385</v>
      </c>
      <c r="T592" s="199"/>
      <c r="U592" s="238"/>
      <c r="V592" s="201"/>
      <c r="W592" s="201"/>
      <c r="X592" s="201"/>
      <c r="Y592" s="201"/>
      <c r="Z592" s="202" t="str">
        <f t="shared" si="0"/>
        <v>RLOM CableSegments</v>
      </c>
      <c r="AA592" s="174"/>
      <c r="AB592" s="147"/>
      <c r="AC592" s="147"/>
      <c r="AD592" s="147"/>
      <c r="AE592" s="147"/>
      <c r="AF592" s="147"/>
      <c r="AG592" s="147"/>
      <c r="AH592" s="147"/>
      <c r="AI592" s="147"/>
      <c r="AJ592" s="147"/>
      <c r="AK592" s="147"/>
      <c r="AL592" s="147"/>
      <c r="AM592" s="147"/>
      <c r="AN592" s="147"/>
    </row>
    <row r="593" spans="1:40" ht="18" customHeight="1">
      <c r="A593" s="190">
        <v>4</v>
      </c>
      <c r="B593" s="190" t="s">
        <v>363</v>
      </c>
      <c r="C593" s="190">
        <v>42</v>
      </c>
      <c r="D593" s="191" t="s">
        <v>1368</v>
      </c>
      <c r="E593" s="193">
        <v>422</v>
      </c>
      <c r="F593" s="193" t="s">
        <v>1390</v>
      </c>
      <c r="G593" s="193" t="s">
        <v>1393</v>
      </c>
      <c r="H593" s="212" t="str">
        <f>HYPERLINK("http://bsdd.buildingsmart.org/#concept/details/1zr41LAp5FYQbN7OsWF5Be","1zr41LAp5FYQbN7OsWF5Be")</f>
        <v>1zr41LAp5FYQbN7OsWF5Be</v>
      </c>
      <c r="I593" s="123" t="s">
        <v>1390</v>
      </c>
      <c r="J593" s="195" t="s">
        <v>4449</v>
      </c>
      <c r="K593" s="191"/>
      <c r="L593" s="248" t="s">
        <v>4450</v>
      </c>
      <c r="M593" s="210"/>
      <c r="N593" s="203"/>
      <c r="O593" s="203"/>
      <c r="P593" s="191"/>
      <c r="Q593" s="192" t="s">
        <v>1395</v>
      </c>
      <c r="R593" s="192" t="s">
        <v>1396</v>
      </c>
      <c r="S593" s="206" t="s">
        <v>1397</v>
      </c>
      <c r="T593" s="199"/>
      <c r="U593" s="201"/>
      <c r="V593" s="201"/>
      <c r="W593" s="201"/>
      <c r="X593" s="201"/>
      <c r="Y593" s="201"/>
      <c r="Z593" s="202" t="str">
        <f t="shared" si="0"/>
        <v>RLOM ElectricDistributionBoards</v>
      </c>
      <c r="AA593" s="174"/>
      <c r="AB593" s="147"/>
      <c r="AC593" s="147"/>
      <c r="AD593" s="147"/>
      <c r="AE593" s="147"/>
      <c r="AF593" s="147"/>
      <c r="AG593" s="147"/>
      <c r="AH593" s="147"/>
      <c r="AI593" s="147"/>
      <c r="AJ593" s="147"/>
      <c r="AK593" s="147"/>
      <c r="AL593" s="147"/>
      <c r="AM593" s="147"/>
      <c r="AN593" s="147"/>
    </row>
    <row r="594" spans="1:40" ht="27" customHeight="1">
      <c r="A594" s="239">
        <v>4</v>
      </c>
      <c r="B594" s="239" t="s">
        <v>363</v>
      </c>
      <c r="C594" s="239">
        <v>42</v>
      </c>
      <c r="D594" s="193" t="s">
        <v>1368</v>
      </c>
      <c r="E594" s="193">
        <v>422</v>
      </c>
      <c r="F594" s="193" t="s">
        <v>1390</v>
      </c>
      <c r="G594" s="193" t="s">
        <v>1393</v>
      </c>
      <c r="H594" s="212" t="str">
        <f>HYPERLINK("http://bsdd.buildingsmart.org/#concept/details/3tqpxNX4H59QV3NNvWpILG","3tqpxNX4H59QV3NNvWpILG")</f>
        <v>3tqpxNX4H59QV3NNvWpILG</v>
      </c>
      <c r="I594" s="123" t="s">
        <v>1414</v>
      </c>
      <c r="J594" s="195" t="s">
        <v>4451</v>
      </c>
      <c r="K594" s="191"/>
      <c r="L594" s="248" t="s">
        <v>4452</v>
      </c>
      <c r="M594" s="210"/>
      <c r="N594" s="203" t="s">
        <v>1416</v>
      </c>
      <c r="O594" s="203" t="s">
        <v>1417</v>
      </c>
      <c r="P594" s="191" t="s">
        <v>1419</v>
      </c>
      <c r="Q594" s="192" t="s">
        <v>1420</v>
      </c>
      <c r="R594" s="192" t="s">
        <v>1421</v>
      </c>
      <c r="S594" s="206" t="s">
        <v>1422</v>
      </c>
      <c r="T594" s="199"/>
      <c r="U594" s="201"/>
      <c r="V594" s="201"/>
      <c r="W594" s="201"/>
      <c r="X594" s="201"/>
      <c r="Y594" s="201"/>
      <c r="Z594" s="202" t="str">
        <f t="shared" si="0"/>
        <v>RLOM Transformers</v>
      </c>
      <c r="AA594" s="174"/>
      <c r="AB594" s="147"/>
      <c r="AC594" s="147"/>
      <c r="AD594" s="147"/>
      <c r="AE594" s="147"/>
      <c r="AF594" s="147"/>
      <c r="AG594" s="147"/>
      <c r="AH594" s="147"/>
      <c r="AI594" s="147"/>
      <c r="AJ594" s="147"/>
      <c r="AK594" s="147"/>
      <c r="AL594" s="147"/>
      <c r="AM594" s="147"/>
      <c r="AN594" s="147"/>
    </row>
    <row r="595" spans="1:40" ht="36" customHeight="1">
      <c r="A595" s="239">
        <v>4</v>
      </c>
      <c r="B595" s="239" t="s">
        <v>363</v>
      </c>
      <c r="C595" s="239">
        <v>43</v>
      </c>
      <c r="D595" s="193" t="s">
        <v>434</v>
      </c>
      <c r="E595" s="193">
        <v>432</v>
      </c>
      <c r="F595" s="193"/>
      <c r="G595" s="193"/>
      <c r="H595" s="212" t="str">
        <f>HYPERLINK("http://bsdd.buildingsmart.org/#concept/details/2TwVsckbf3mwAY1rXxfBuV","2TwVsckbf3mwAY1rXxfBuV")</f>
        <v>2TwVsckbf3mwAY1rXxfBuV</v>
      </c>
      <c r="I595" s="123" t="s">
        <v>5143</v>
      </c>
      <c r="J595" s="195" t="s">
        <v>4453</v>
      </c>
      <c r="K595" s="191"/>
      <c r="L595" s="248" t="s">
        <v>4454</v>
      </c>
      <c r="M595" s="210"/>
      <c r="N595" s="203" t="s">
        <v>893</v>
      </c>
      <c r="O595" s="203" t="s">
        <v>895</v>
      </c>
      <c r="P595" s="191" t="s">
        <v>896</v>
      </c>
      <c r="Q595" s="192" t="s">
        <v>897</v>
      </c>
      <c r="R595" s="192" t="s">
        <v>898</v>
      </c>
      <c r="S595" s="206" t="s">
        <v>573</v>
      </c>
      <c r="T595" s="199"/>
      <c r="U595" s="201"/>
      <c r="V595" s="201"/>
      <c r="W595" s="201"/>
      <c r="X595" s="201"/>
      <c r="Y595" s="201"/>
      <c r="Z595" s="202" t="str">
        <f t="shared" si="0"/>
        <v>RLOM CableCarrierFittings</v>
      </c>
      <c r="AA595" s="174"/>
      <c r="AB595" s="147"/>
      <c r="AC595" s="147"/>
      <c r="AD595" s="147"/>
      <c r="AE595" s="147"/>
      <c r="AF595" s="147"/>
      <c r="AG595" s="147"/>
      <c r="AH595" s="147"/>
      <c r="AI595" s="147"/>
      <c r="AJ595" s="147"/>
      <c r="AK595" s="147"/>
      <c r="AL595" s="147"/>
      <c r="AM595" s="147"/>
      <c r="AN595" s="147"/>
    </row>
    <row r="596" spans="1:40" ht="36" customHeight="1">
      <c r="A596" s="239">
        <v>4</v>
      </c>
      <c r="B596" s="239" t="s">
        <v>363</v>
      </c>
      <c r="C596" s="239">
        <v>43</v>
      </c>
      <c r="D596" s="193" t="s">
        <v>434</v>
      </c>
      <c r="E596" s="193">
        <v>432</v>
      </c>
      <c r="F596" s="193"/>
      <c r="G596" s="193"/>
      <c r="H596" s="212" t="str">
        <f>HYPERLINK("http://bsdd.buildingsmart.org/#concept/details/0gEna34hH1gwDc2qzr5Jcc","0gEna34hH1gwDc2qzr5Jcc")</f>
        <v>0gEna34hH1gwDc2qzr5Jcc</v>
      </c>
      <c r="I596" s="123" t="s">
        <v>5144</v>
      </c>
      <c r="J596" s="195" t="s">
        <v>4455</v>
      </c>
      <c r="K596" s="191"/>
      <c r="L596" s="248" t="s">
        <v>4456</v>
      </c>
      <c r="M596" s="210"/>
      <c r="N596" s="203" t="s">
        <v>893</v>
      </c>
      <c r="O596" s="203" t="s">
        <v>895</v>
      </c>
      <c r="P596" s="191" t="s">
        <v>896</v>
      </c>
      <c r="Q596" s="192" t="s">
        <v>897</v>
      </c>
      <c r="R596" s="192" t="s">
        <v>898</v>
      </c>
      <c r="S596" s="206" t="s">
        <v>916</v>
      </c>
      <c r="T596" s="199"/>
      <c r="U596" s="201"/>
      <c r="V596" s="201"/>
      <c r="W596" s="201"/>
      <c r="X596" s="201"/>
      <c r="Y596" s="201"/>
      <c r="Z596" s="202" t="str">
        <f t="shared" si="0"/>
        <v>RLOM CableCarrierFittings</v>
      </c>
      <c r="AA596" s="174"/>
      <c r="AB596" s="147"/>
      <c r="AC596" s="147"/>
      <c r="AD596" s="147"/>
      <c r="AE596" s="147"/>
      <c r="AF596" s="147"/>
      <c r="AG596" s="147"/>
      <c r="AH596" s="147"/>
      <c r="AI596" s="147"/>
      <c r="AJ596" s="147"/>
      <c r="AK596" s="147"/>
      <c r="AL596" s="147"/>
      <c r="AM596" s="147"/>
      <c r="AN596" s="147"/>
    </row>
    <row r="597" spans="1:40" ht="36" customHeight="1">
      <c r="A597" s="239">
        <v>4</v>
      </c>
      <c r="B597" s="239" t="s">
        <v>363</v>
      </c>
      <c r="C597" s="239">
        <v>43</v>
      </c>
      <c r="D597" s="193" t="s">
        <v>434</v>
      </c>
      <c r="E597" s="193">
        <v>432</v>
      </c>
      <c r="F597" s="193"/>
      <c r="G597" s="193"/>
      <c r="H597" s="212" t="str">
        <f>HYPERLINK("http://bsdd.buildingsmart.org/#concept/details/2T7MMtJQb0xuemPdAhW8U0","2T7MMtJQb0xuemPdAhW8U0")</f>
        <v>2T7MMtJQb0xuemPdAhW8U0</v>
      </c>
      <c r="I597" s="123" t="s">
        <v>5145</v>
      </c>
      <c r="J597" s="195" t="s">
        <v>4457</v>
      </c>
      <c r="K597" s="191"/>
      <c r="L597" s="248" t="s">
        <v>4458</v>
      </c>
      <c r="M597" s="210"/>
      <c r="N597" s="203" t="s">
        <v>893</v>
      </c>
      <c r="O597" s="203" t="s">
        <v>895</v>
      </c>
      <c r="P597" s="191" t="s">
        <v>896</v>
      </c>
      <c r="Q597" s="192" t="s">
        <v>897</v>
      </c>
      <c r="R597" s="192" t="s">
        <v>898</v>
      </c>
      <c r="S597" s="206" t="s">
        <v>969</v>
      </c>
      <c r="T597" s="199"/>
      <c r="U597" s="201"/>
      <c r="V597" s="201"/>
      <c r="W597" s="201"/>
      <c r="X597" s="201"/>
      <c r="Y597" s="201"/>
      <c r="Z597" s="202" t="str">
        <f t="shared" si="0"/>
        <v>RLOM CableCarrierFittings</v>
      </c>
      <c r="AA597" s="174"/>
      <c r="AB597" s="147"/>
      <c r="AC597" s="147"/>
      <c r="AD597" s="147"/>
      <c r="AE597" s="147"/>
      <c r="AF597" s="147"/>
      <c r="AG597" s="147"/>
      <c r="AH597" s="147"/>
      <c r="AI597" s="147"/>
      <c r="AJ597" s="147"/>
      <c r="AK597" s="147"/>
      <c r="AL597" s="147"/>
      <c r="AM597" s="147"/>
      <c r="AN597" s="147"/>
    </row>
    <row r="598" spans="1:40" ht="36" customHeight="1">
      <c r="A598" s="239">
        <v>4</v>
      </c>
      <c r="B598" s="239" t="s">
        <v>363</v>
      </c>
      <c r="C598" s="239">
        <v>43</v>
      </c>
      <c r="D598" s="193" t="s">
        <v>434</v>
      </c>
      <c r="E598" s="193">
        <v>432</v>
      </c>
      <c r="F598" s="193" t="s">
        <v>1445</v>
      </c>
      <c r="G598" s="193" t="s">
        <v>1447</v>
      </c>
      <c r="H598" s="212" t="str">
        <f>HYPERLINK("http://bsdd.buildingsmart.org/#concept/details/2tYZ9Vy$r86AvZu01$YY2B","2tYZ9Vy$r86AvZu01$YY2B")</f>
        <v>2tYZ9Vy$r86AvZu01$YY2B</v>
      </c>
      <c r="I598" s="123" t="s">
        <v>5146</v>
      </c>
      <c r="J598" s="195" t="s">
        <v>4459</v>
      </c>
      <c r="K598" s="191"/>
      <c r="L598" s="248" t="s">
        <v>4460</v>
      </c>
      <c r="M598" s="210"/>
      <c r="N598" s="203" t="s">
        <v>893</v>
      </c>
      <c r="O598" s="203" t="s">
        <v>895</v>
      </c>
      <c r="P598" s="191" t="s">
        <v>896</v>
      </c>
      <c r="Q598" s="192" t="s">
        <v>897</v>
      </c>
      <c r="R598" s="192" t="s">
        <v>898</v>
      </c>
      <c r="S598" s="206" t="s">
        <v>981</v>
      </c>
      <c r="T598" s="199"/>
      <c r="U598" s="201"/>
      <c r="V598" s="201"/>
      <c r="W598" s="201"/>
      <c r="X598" s="201"/>
      <c r="Y598" s="201"/>
      <c r="Z598" s="202" t="str">
        <f t="shared" si="0"/>
        <v>RLOM CableCarrierFittings</v>
      </c>
      <c r="AA598" s="174"/>
      <c r="AB598" s="147"/>
      <c r="AC598" s="147"/>
      <c r="AD598" s="147"/>
      <c r="AE598" s="147"/>
      <c r="AF598" s="147"/>
      <c r="AG598" s="147"/>
      <c r="AH598" s="147"/>
      <c r="AI598" s="147"/>
      <c r="AJ598" s="147"/>
      <c r="AK598" s="147"/>
      <c r="AL598" s="147"/>
      <c r="AM598" s="147"/>
      <c r="AN598" s="147"/>
    </row>
    <row r="599" spans="1:40" ht="27" customHeight="1">
      <c r="A599" s="239">
        <v>4</v>
      </c>
      <c r="B599" s="239" t="s">
        <v>363</v>
      </c>
      <c r="C599" s="239">
        <v>43</v>
      </c>
      <c r="D599" s="193" t="s">
        <v>434</v>
      </c>
      <c r="E599" s="193">
        <v>432</v>
      </c>
      <c r="F599" s="193" t="s">
        <v>1445</v>
      </c>
      <c r="G599" s="193" t="s">
        <v>1447</v>
      </c>
      <c r="H599" s="212" t="str">
        <f>HYPERLINK("http://bsdd.buildingsmart.org/#concept/details/3S$phQfuH8zxocCkZTW72j","3S$phQfuH8zxocCkZTW72j")</f>
        <v>3S$phQfuH8zxocCkZTW72j</v>
      </c>
      <c r="I599" s="123" t="s">
        <v>5147</v>
      </c>
      <c r="J599" s="195" t="s">
        <v>4461</v>
      </c>
      <c r="K599" s="191"/>
      <c r="L599" s="248" t="s">
        <v>4462</v>
      </c>
      <c r="M599" s="210" t="s">
        <v>1459</v>
      </c>
      <c r="N599" s="203" t="s">
        <v>1460</v>
      </c>
      <c r="O599" s="203" t="s">
        <v>1461</v>
      </c>
      <c r="P599" s="191" t="s">
        <v>1462</v>
      </c>
      <c r="Q599" s="192" t="s">
        <v>1395</v>
      </c>
      <c r="R599" s="192" t="s">
        <v>1396</v>
      </c>
      <c r="S599" s="206" t="s">
        <v>1463</v>
      </c>
      <c r="T599" s="199"/>
      <c r="U599" s="201"/>
      <c r="V599" s="201"/>
      <c r="W599" s="201"/>
      <c r="X599" s="201"/>
      <c r="Y599" s="201"/>
      <c r="Z599" s="202" t="str">
        <f t="shared" si="0"/>
        <v>RLOM ElectricDistributionBoards</v>
      </c>
      <c r="AA599" s="174"/>
      <c r="AB599" s="147"/>
      <c r="AC599" s="147"/>
      <c r="AD599" s="147"/>
      <c r="AE599" s="147"/>
      <c r="AF599" s="147"/>
      <c r="AG599" s="147"/>
      <c r="AH599" s="147"/>
      <c r="AI599" s="147"/>
      <c r="AJ599" s="147"/>
      <c r="AK599" s="147"/>
      <c r="AL599" s="147"/>
      <c r="AM599" s="147"/>
      <c r="AN599" s="147"/>
    </row>
    <row r="600" spans="1:40" ht="18" customHeight="1">
      <c r="A600" s="239">
        <v>4</v>
      </c>
      <c r="B600" s="239" t="s">
        <v>363</v>
      </c>
      <c r="C600" s="239">
        <v>43</v>
      </c>
      <c r="D600" s="193" t="s">
        <v>434</v>
      </c>
      <c r="E600" s="193">
        <v>432</v>
      </c>
      <c r="F600" s="193" t="s">
        <v>1445</v>
      </c>
      <c r="G600" s="193" t="s">
        <v>1447</v>
      </c>
      <c r="H600" s="212" t="str">
        <f>HYPERLINK("http://bsdd.buildingsmart.org/#concept/details/2Ii$T3d_9DjgsrLWiuuia2","2Ii$T3d_9DjgsrLWiuuia2")</f>
        <v>2Ii$T3d_9DjgsrLWiuuia2</v>
      </c>
      <c r="I600" s="123" t="s">
        <v>1467</v>
      </c>
      <c r="J600" s="195" t="s">
        <v>4463</v>
      </c>
      <c r="K600" s="191"/>
      <c r="L600" s="248" t="s">
        <v>4464</v>
      </c>
      <c r="M600" s="210" t="s">
        <v>1470</v>
      </c>
      <c r="N600" s="203"/>
      <c r="O600" s="203"/>
      <c r="P600" s="191"/>
      <c r="Q600" s="192" t="s">
        <v>1209</v>
      </c>
      <c r="R600" s="192" t="s">
        <v>881</v>
      </c>
      <c r="S600" s="206" t="s">
        <v>1288</v>
      </c>
      <c r="T600" s="199" t="s">
        <v>1473</v>
      </c>
      <c r="U600" s="201"/>
      <c r="V600" s="201"/>
      <c r="W600" s="201"/>
      <c r="X600" s="201"/>
      <c r="Y600" s="201"/>
      <c r="Z600" s="202" t="str">
        <f t="shared" si="0"/>
        <v>RLOM CableSegments</v>
      </c>
      <c r="AA600" s="174"/>
      <c r="AB600" s="147"/>
      <c r="AC600" s="147"/>
      <c r="AD600" s="147"/>
      <c r="AE600" s="147"/>
      <c r="AF600" s="147"/>
      <c r="AG600" s="147"/>
      <c r="AH600" s="147"/>
      <c r="AI600" s="147"/>
      <c r="AJ600" s="147"/>
      <c r="AK600" s="147"/>
      <c r="AL600" s="147"/>
      <c r="AM600" s="147"/>
      <c r="AN600" s="147"/>
    </row>
    <row r="601" spans="1:40" ht="27" customHeight="1">
      <c r="A601" s="239">
        <v>4</v>
      </c>
      <c r="B601" s="239" t="s">
        <v>363</v>
      </c>
      <c r="C601" s="239">
        <v>43</v>
      </c>
      <c r="D601" s="193" t="s">
        <v>434</v>
      </c>
      <c r="E601" s="193">
        <v>432</v>
      </c>
      <c r="F601" s="193" t="s">
        <v>1445</v>
      </c>
      <c r="G601" s="193" t="s">
        <v>1447</v>
      </c>
      <c r="H601" s="212" t="str">
        <f>HYPERLINK("http://bsdd.buildingsmart.org/#concept/details/04LJcA8dyHu000025QrE$V","04LJcA8dyHu000025QrE$V")</f>
        <v>04LJcA8dyHu000025QrE$V</v>
      </c>
      <c r="I601" s="123" t="s">
        <v>1476</v>
      </c>
      <c r="J601" s="195" t="s">
        <v>4465</v>
      </c>
      <c r="K601" s="191"/>
      <c r="L601" s="248" t="s">
        <v>4466</v>
      </c>
      <c r="M601" s="210"/>
      <c r="N601" s="203" t="s">
        <v>1275</v>
      </c>
      <c r="O601" s="203" t="s">
        <v>1276</v>
      </c>
      <c r="P601" s="191" t="s">
        <v>1277</v>
      </c>
      <c r="Q601" s="192" t="s">
        <v>1209</v>
      </c>
      <c r="R601" s="192" t="s">
        <v>881</v>
      </c>
      <c r="S601" s="206" t="s">
        <v>1288</v>
      </c>
      <c r="T601" s="199"/>
      <c r="U601" s="201"/>
      <c r="V601" s="201"/>
      <c r="W601" s="201"/>
      <c r="X601" s="201"/>
      <c r="Y601" s="201"/>
      <c r="Z601" s="202" t="str">
        <f t="shared" si="0"/>
        <v>RLOM CableSegments</v>
      </c>
      <c r="AA601" s="174"/>
      <c r="AB601" s="147"/>
      <c r="AC601" s="147"/>
      <c r="AD601" s="147"/>
      <c r="AE601" s="147"/>
      <c r="AF601" s="147"/>
      <c r="AG601" s="147"/>
      <c r="AH601" s="147"/>
      <c r="AI601" s="147"/>
      <c r="AJ601" s="147"/>
      <c r="AK601" s="147"/>
      <c r="AL601" s="147"/>
      <c r="AM601" s="147"/>
      <c r="AN601" s="147"/>
    </row>
    <row r="602" spans="1:40" ht="27" customHeight="1">
      <c r="A602" s="239">
        <v>4</v>
      </c>
      <c r="B602" s="239" t="s">
        <v>363</v>
      </c>
      <c r="C602" s="239">
        <v>43</v>
      </c>
      <c r="D602" s="193" t="s">
        <v>434</v>
      </c>
      <c r="E602" s="193">
        <v>432</v>
      </c>
      <c r="F602" s="193" t="s">
        <v>1445</v>
      </c>
      <c r="G602" s="193" t="s">
        <v>1447</v>
      </c>
      <c r="H602" s="212" t="str">
        <f>HYPERLINK("http://bsdd.buildingsmart.org/#concept/details/0rBl9O1yH4fOYU0kqPjmzX","0rBl9O1yH4fOYU0kqPjmzX")</f>
        <v>0rBl9O1yH4fOYU0kqPjmzX</v>
      </c>
      <c r="I602" s="123" t="s">
        <v>5148</v>
      </c>
      <c r="J602" s="195" t="s">
        <v>4467</v>
      </c>
      <c r="K602" s="191"/>
      <c r="L602" s="248" t="s">
        <v>4466</v>
      </c>
      <c r="M602" s="210"/>
      <c r="N602" s="203" t="s">
        <v>1275</v>
      </c>
      <c r="O602" s="203" t="s">
        <v>1276</v>
      </c>
      <c r="P602" s="191" t="s">
        <v>1277</v>
      </c>
      <c r="Q602" s="192" t="s">
        <v>1209</v>
      </c>
      <c r="R602" s="192" t="s">
        <v>881</v>
      </c>
      <c r="S602" s="206" t="s">
        <v>1288</v>
      </c>
      <c r="T602" s="199"/>
      <c r="U602" s="201"/>
      <c r="V602" s="201"/>
      <c r="W602" s="201"/>
      <c r="X602" s="201"/>
      <c r="Y602" s="201"/>
      <c r="Z602" s="202" t="str">
        <f t="shared" si="0"/>
        <v>RLOM CableSegments</v>
      </c>
      <c r="AA602" s="174"/>
      <c r="AB602" s="147"/>
      <c r="AC602" s="147"/>
      <c r="AD602" s="147"/>
      <c r="AE602" s="147"/>
      <c r="AF602" s="147"/>
      <c r="AG602" s="147"/>
      <c r="AH602" s="147"/>
      <c r="AI602" s="147"/>
      <c r="AJ602" s="147"/>
      <c r="AK602" s="147"/>
      <c r="AL602" s="147"/>
      <c r="AM602" s="147"/>
      <c r="AN602" s="147"/>
    </row>
    <row r="603" spans="1:40" ht="27" customHeight="1">
      <c r="A603" s="239">
        <v>4</v>
      </c>
      <c r="B603" s="239" t="s">
        <v>363</v>
      </c>
      <c r="C603" s="239">
        <v>43</v>
      </c>
      <c r="D603" s="193" t="s">
        <v>434</v>
      </c>
      <c r="E603" s="193">
        <v>432</v>
      </c>
      <c r="F603" s="193" t="s">
        <v>1445</v>
      </c>
      <c r="G603" s="193" t="s">
        <v>1447</v>
      </c>
      <c r="H603" s="212" t="str">
        <f>HYPERLINK("http://bsdd.buildingsmart.org/#concept/details/33YPipw$b4qQ2AIQOpLuAB","33YPipw$b4qQ2AIQOpLuAB")</f>
        <v>33YPipw$b4qQ2AIQOpLuAB</v>
      </c>
      <c r="I603" s="123" t="s">
        <v>5149</v>
      </c>
      <c r="J603" s="195" t="s">
        <v>4468</v>
      </c>
      <c r="K603" s="191"/>
      <c r="L603" s="248" t="s">
        <v>4469</v>
      </c>
      <c r="M603" s="210"/>
      <c r="N603" s="203" t="s">
        <v>1275</v>
      </c>
      <c r="O603" s="203" t="s">
        <v>1276</v>
      </c>
      <c r="P603" s="191" t="s">
        <v>1277</v>
      </c>
      <c r="Q603" s="192" t="s">
        <v>1209</v>
      </c>
      <c r="R603" s="192" t="s">
        <v>881</v>
      </c>
      <c r="S603" s="206" t="s">
        <v>1288</v>
      </c>
      <c r="T603" s="199"/>
      <c r="U603" s="201"/>
      <c r="V603" s="201"/>
      <c r="W603" s="201"/>
      <c r="X603" s="201"/>
      <c r="Y603" s="201"/>
      <c r="Z603" s="202" t="str">
        <f t="shared" si="0"/>
        <v>RLOM CableSegments</v>
      </c>
      <c r="AA603" s="174"/>
      <c r="AB603" s="147"/>
      <c r="AC603" s="147"/>
      <c r="AD603" s="147"/>
      <c r="AE603" s="147"/>
      <c r="AF603" s="147"/>
      <c r="AG603" s="147"/>
      <c r="AH603" s="147"/>
      <c r="AI603" s="147"/>
      <c r="AJ603" s="147"/>
      <c r="AK603" s="147"/>
      <c r="AL603" s="147"/>
      <c r="AM603" s="147"/>
      <c r="AN603" s="147"/>
    </row>
    <row r="604" spans="1:40" ht="27" customHeight="1">
      <c r="A604" s="239">
        <v>4</v>
      </c>
      <c r="B604" s="239" t="s">
        <v>363</v>
      </c>
      <c r="C604" s="239">
        <v>43</v>
      </c>
      <c r="D604" s="193" t="s">
        <v>434</v>
      </c>
      <c r="E604" s="193">
        <v>432</v>
      </c>
      <c r="F604" s="193" t="s">
        <v>1445</v>
      </c>
      <c r="G604" s="193" t="s">
        <v>1447</v>
      </c>
      <c r="H604" s="212" t="str">
        <f>HYPERLINK("http://bsdd.buildingsmart.org/#concept/details/1ZB4GqaVLArfKNAWQUxmZH","1ZB4GqaVLArfKNAWQUxmZH")</f>
        <v>1ZB4GqaVLArfKNAWQUxmZH</v>
      </c>
      <c r="I604" s="123" t="s">
        <v>5150</v>
      </c>
      <c r="J604" s="195" t="s">
        <v>4470</v>
      </c>
      <c r="K604" s="191"/>
      <c r="L604" s="248" t="s">
        <v>4471</v>
      </c>
      <c r="M604" s="210"/>
      <c r="N604" s="203" t="s">
        <v>1275</v>
      </c>
      <c r="O604" s="203" t="s">
        <v>1276</v>
      </c>
      <c r="P604" s="191" t="s">
        <v>1277</v>
      </c>
      <c r="Q604" s="192" t="s">
        <v>1209</v>
      </c>
      <c r="R604" s="192" t="s">
        <v>881</v>
      </c>
      <c r="S604" s="206" t="s">
        <v>1288</v>
      </c>
      <c r="T604" s="199"/>
      <c r="U604" s="201"/>
      <c r="V604" s="201"/>
      <c r="W604" s="201"/>
      <c r="X604" s="201"/>
      <c r="Y604" s="201"/>
      <c r="Z604" s="202" t="str">
        <f t="shared" si="0"/>
        <v>RLOM CableSegments</v>
      </c>
      <c r="AA604" s="174"/>
      <c r="AB604" s="147"/>
      <c r="AC604" s="147"/>
      <c r="AD604" s="147"/>
      <c r="AE604" s="147"/>
      <c r="AF604" s="147"/>
      <c r="AG604" s="147"/>
      <c r="AH604" s="147"/>
      <c r="AI604" s="147"/>
      <c r="AJ604" s="147"/>
      <c r="AK604" s="147"/>
      <c r="AL604" s="147"/>
      <c r="AM604" s="147"/>
      <c r="AN604" s="147"/>
    </row>
    <row r="605" spans="1:40" ht="24" customHeight="1">
      <c r="A605" s="239">
        <v>4</v>
      </c>
      <c r="B605" s="239" t="s">
        <v>363</v>
      </c>
      <c r="C605" s="239">
        <v>43</v>
      </c>
      <c r="D605" s="193" t="s">
        <v>434</v>
      </c>
      <c r="E605" s="193">
        <v>432</v>
      </c>
      <c r="F605" s="193" t="s">
        <v>1445</v>
      </c>
      <c r="G605" s="193" t="s">
        <v>1447</v>
      </c>
      <c r="H605" s="212" t="str">
        <f>HYPERLINK("http://bsdd.buildingsmart.org/#concept/details/2_VzwIPjjELuBQWrsegtcU","2_VzwIPjjELuBQWrsegtcU")</f>
        <v>2_VzwIPjjELuBQWrsegtcU</v>
      </c>
      <c r="I605" s="123" t="s">
        <v>5151</v>
      </c>
      <c r="J605" s="195" t="s">
        <v>4472</v>
      </c>
      <c r="K605" s="191" t="s">
        <v>1656</v>
      </c>
      <c r="L605" s="248" t="s">
        <v>4370</v>
      </c>
      <c r="M605" s="210"/>
      <c r="N605" s="203" t="s">
        <v>529</v>
      </c>
      <c r="O605" s="203" t="s">
        <v>526</v>
      </c>
      <c r="P605" s="191" t="s">
        <v>531</v>
      </c>
      <c r="Q605" s="192" t="s">
        <v>511</v>
      </c>
      <c r="R605" s="192" t="s">
        <v>512</v>
      </c>
      <c r="S605" s="206" t="s">
        <v>532</v>
      </c>
      <c r="T605" s="199"/>
      <c r="U605" s="201"/>
      <c r="V605" s="201"/>
      <c r="W605" s="201"/>
      <c r="X605" s="201"/>
      <c r="Y605" s="201"/>
      <c r="Z605" s="202" t="str">
        <f t="shared" si="0"/>
        <v>RLOM ProtectiveDevices</v>
      </c>
      <c r="AA605" s="174"/>
      <c r="AB605" s="147"/>
      <c r="AC605" s="147"/>
      <c r="AD605" s="147"/>
      <c r="AE605" s="147"/>
      <c r="AF605" s="147"/>
      <c r="AG605" s="147"/>
      <c r="AH605" s="147"/>
      <c r="AI605" s="147"/>
      <c r="AJ605" s="147"/>
      <c r="AK605" s="147"/>
      <c r="AL605" s="147"/>
      <c r="AM605" s="147"/>
      <c r="AN605" s="147"/>
    </row>
    <row r="606" spans="1:40" ht="18" customHeight="1">
      <c r="A606" s="239">
        <v>4</v>
      </c>
      <c r="B606" s="239" t="s">
        <v>363</v>
      </c>
      <c r="C606" s="239">
        <v>43</v>
      </c>
      <c r="D606" s="193" t="s">
        <v>434</v>
      </c>
      <c r="E606" s="193">
        <v>432</v>
      </c>
      <c r="F606" s="193" t="s">
        <v>1445</v>
      </c>
      <c r="G606" s="193" t="s">
        <v>1447</v>
      </c>
      <c r="H606" s="212" t="str">
        <f>HYPERLINK("http://bsdd.buildingsmart.org/#concept/details/0NnkyXplbBO9bQ4K7gCzh4","0NnkyXplbBO9bQ4K7gCzh4")</f>
        <v>0NnkyXplbBO9bQ4K7gCzh4</v>
      </c>
      <c r="I606" s="123" t="s">
        <v>5152</v>
      </c>
      <c r="J606" s="195" t="s">
        <v>4473</v>
      </c>
      <c r="K606" s="191"/>
      <c r="L606" s="248" t="s">
        <v>4474</v>
      </c>
      <c r="M606" s="210"/>
      <c r="N606" s="203"/>
      <c r="O606" s="203"/>
      <c r="P606" s="191"/>
      <c r="Q606" s="192" t="s">
        <v>1395</v>
      </c>
      <c r="R606" s="192" t="s">
        <v>1396</v>
      </c>
      <c r="S606" s="206" t="s">
        <v>1463</v>
      </c>
      <c r="T606" s="199"/>
      <c r="U606" s="238"/>
      <c r="V606" s="201"/>
      <c r="W606" s="201"/>
      <c r="X606" s="201"/>
      <c r="Y606" s="201"/>
      <c r="Z606" s="202" t="str">
        <f t="shared" si="0"/>
        <v>RLOM ElectricDistributionBoards</v>
      </c>
      <c r="AA606" s="174"/>
      <c r="AB606" s="147"/>
      <c r="AC606" s="147"/>
      <c r="AD606" s="147"/>
      <c r="AE606" s="147"/>
      <c r="AF606" s="147"/>
      <c r="AG606" s="147"/>
      <c r="AH606" s="147"/>
      <c r="AI606" s="147"/>
      <c r="AJ606" s="147"/>
      <c r="AK606" s="147"/>
      <c r="AL606" s="147"/>
      <c r="AM606" s="147"/>
      <c r="AN606" s="147"/>
    </row>
    <row r="607" spans="1:40" ht="27" customHeight="1">
      <c r="A607" s="239">
        <v>4</v>
      </c>
      <c r="B607" s="239" t="s">
        <v>363</v>
      </c>
      <c r="C607" s="239">
        <v>43</v>
      </c>
      <c r="D607" s="193" t="s">
        <v>434</v>
      </c>
      <c r="E607" s="193">
        <v>433</v>
      </c>
      <c r="F607" s="193" t="s">
        <v>1490</v>
      </c>
      <c r="G607" s="193" t="s">
        <v>1492</v>
      </c>
      <c r="H607" s="212" t="str">
        <f>HYPERLINK("http://bsdd.buildingsmart.org/#concept/details/0B5YL_T0j4UuZo6E0BB$Si","0B5YL_T0j4UuZo6E0BB$Si")</f>
        <v>0B5YL_T0j4UuZo6E0BB$Si</v>
      </c>
      <c r="I607" s="123" t="s">
        <v>1493</v>
      </c>
      <c r="J607" s="195" t="s">
        <v>4475</v>
      </c>
      <c r="K607" s="191"/>
      <c r="L607" s="248" t="s">
        <v>4476</v>
      </c>
      <c r="M607" s="210"/>
      <c r="N607" s="203" t="s">
        <v>1236</v>
      </c>
      <c r="O607" s="203" t="s">
        <v>1237</v>
      </c>
      <c r="P607" s="191" t="s">
        <v>1239</v>
      </c>
      <c r="Q607" s="192" t="s">
        <v>1240</v>
      </c>
      <c r="R607" s="192" t="s">
        <v>1241</v>
      </c>
      <c r="S607" s="206" t="s">
        <v>1242</v>
      </c>
      <c r="T607" s="199"/>
      <c r="U607" s="201"/>
      <c r="V607" s="201"/>
      <c r="W607" s="201"/>
      <c r="X607" s="201"/>
      <c r="Y607" s="201"/>
      <c r="Z607" s="202" t="str">
        <f t="shared" si="0"/>
        <v>RLOM UnitaryControlElements</v>
      </c>
      <c r="AA607" s="174"/>
      <c r="AB607" s="147"/>
      <c r="AC607" s="147"/>
      <c r="AD607" s="147"/>
      <c r="AE607" s="147"/>
      <c r="AF607" s="147"/>
      <c r="AG607" s="147"/>
      <c r="AH607" s="147"/>
      <c r="AI607" s="147"/>
      <c r="AJ607" s="147"/>
      <c r="AK607" s="147"/>
      <c r="AL607" s="147"/>
      <c r="AM607" s="147"/>
      <c r="AN607" s="147"/>
    </row>
    <row r="608" spans="1:40" ht="27" customHeight="1">
      <c r="A608" s="239">
        <v>4</v>
      </c>
      <c r="B608" s="239" t="s">
        <v>363</v>
      </c>
      <c r="C608" s="239">
        <v>43</v>
      </c>
      <c r="D608" s="193" t="s">
        <v>434</v>
      </c>
      <c r="E608" s="193">
        <v>433</v>
      </c>
      <c r="F608" s="193" t="s">
        <v>1490</v>
      </c>
      <c r="G608" s="193" t="s">
        <v>1492</v>
      </c>
      <c r="H608" s="212" t="str">
        <f>HYPERLINK("http://bsdd.buildingsmart.org/#concept/details/3kmQBgZn98qhFJZdN3F4UO","3kmQBgZn98qhFJZdN3F4UO")</f>
        <v>3kmQBgZn98qhFJZdN3F4UO</v>
      </c>
      <c r="I608" s="123" t="s">
        <v>5153</v>
      </c>
      <c r="J608" s="195" t="s">
        <v>4477</v>
      </c>
      <c r="K608" s="191"/>
      <c r="L608" s="248" t="s">
        <v>4478</v>
      </c>
      <c r="M608" s="210"/>
      <c r="N608" s="203" t="s">
        <v>1236</v>
      </c>
      <c r="O608" s="203" t="s">
        <v>1237</v>
      </c>
      <c r="P608" s="191" t="s">
        <v>1239</v>
      </c>
      <c r="Q608" s="192" t="s">
        <v>1240</v>
      </c>
      <c r="R608" s="192" t="s">
        <v>1241</v>
      </c>
      <c r="S608" s="206" t="s">
        <v>1512</v>
      </c>
      <c r="T608" s="199"/>
      <c r="U608" s="201"/>
      <c r="V608" s="201"/>
      <c r="W608" s="201"/>
      <c r="X608" s="201"/>
      <c r="Y608" s="201"/>
      <c r="Z608" s="202" t="str">
        <f t="shared" si="0"/>
        <v>RLOM UnitaryControlElements</v>
      </c>
      <c r="AA608" s="174"/>
      <c r="AB608" s="147"/>
      <c r="AC608" s="147"/>
      <c r="AD608" s="147"/>
      <c r="AE608" s="147"/>
      <c r="AF608" s="147"/>
      <c r="AG608" s="147"/>
      <c r="AH608" s="147"/>
      <c r="AI608" s="147"/>
      <c r="AJ608" s="147"/>
      <c r="AK608" s="147"/>
      <c r="AL608" s="147"/>
      <c r="AM608" s="147"/>
      <c r="AN608" s="147"/>
    </row>
    <row r="609" spans="1:40" ht="45" customHeight="1">
      <c r="A609" s="239">
        <v>4</v>
      </c>
      <c r="B609" s="239" t="s">
        <v>363</v>
      </c>
      <c r="C609" s="239">
        <v>43</v>
      </c>
      <c r="D609" s="193" t="s">
        <v>434</v>
      </c>
      <c r="E609" s="193">
        <v>433</v>
      </c>
      <c r="F609" s="193" t="s">
        <v>1490</v>
      </c>
      <c r="G609" s="193" t="s">
        <v>1492</v>
      </c>
      <c r="H609" s="212" t="str">
        <f>HYPERLINK("http://bsdd.buildingsmart.org/#concept/details/3vHTn4oT0Hsm00051Mm008","3vHTn4oT0Hsm00051Mm008")</f>
        <v>3vHTn4oT0Hsm00051Mm008</v>
      </c>
      <c r="I609" s="123" t="s">
        <v>1515</v>
      </c>
      <c r="J609" s="195" t="s">
        <v>4479</v>
      </c>
      <c r="K609" s="191"/>
      <c r="L609" s="248" t="s">
        <v>4480</v>
      </c>
      <c r="M609" s="210"/>
      <c r="N609" s="203" t="s">
        <v>1517</v>
      </c>
      <c r="O609" s="203" t="s">
        <v>1518</v>
      </c>
      <c r="P609" s="191" t="s">
        <v>1519</v>
      </c>
      <c r="Q609" s="192" t="s">
        <v>559</v>
      </c>
      <c r="R609" s="192" t="s">
        <v>625</v>
      </c>
      <c r="S609" s="206" t="s">
        <v>1520</v>
      </c>
      <c r="T609" s="199"/>
      <c r="U609" s="201"/>
      <c r="V609" s="201"/>
      <c r="W609" s="201"/>
      <c r="X609" s="201"/>
      <c r="Y609" s="201"/>
      <c r="Z609" s="202" t="str">
        <f t="shared" si="0"/>
        <v>RLOM Sensors</v>
      </c>
      <c r="AA609" s="174"/>
      <c r="AB609" s="147"/>
      <c r="AC609" s="147"/>
      <c r="AD609" s="147"/>
      <c r="AE609" s="147"/>
      <c r="AF609" s="147"/>
      <c r="AG609" s="147"/>
      <c r="AH609" s="147"/>
      <c r="AI609" s="147"/>
      <c r="AJ609" s="147"/>
      <c r="AK609" s="147"/>
      <c r="AL609" s="147"/>
      <c r="AM609" s="147"/>
      <c r="AN609" s="147"/>
    </row>
    <row r="610" spans="1:40" ht="27" customHeight="1">
      <c r="A610" s="239">
        <v>4</v>
      </c>
      <c r="B610" s="239" t="s">
        <v>363</v>
      </c>
      <c r="C610" s="239">
        <v>43</v>
      </c>
      <c r="D610" s="193" t="s">
        <v>434</v>
      </c>
      <c r="E610" s="193">
        <v>433</v>
      </c>
      <c r="F610" s="193" t="s">
        <v>1490</v>
      </c>
      <c r="G610" s="193" t="s">
        <v>1492</v>
      </c>
      <c r="H610" s="212" t="str">
        <f>HYPERLINK("http://bsdd.buildingsmart.org/#concept/details/2VCYU0WJmHu000025QrE$V","2VCYU0WJmHu000025QrE$V")</f>
        <v>2VCYU0WJmHu000025QrE$V</v>
      </c>
      <c r="I610" s="123" t="s">
        <v>1521</v>
      </c>
      <c r="J610" s="195" t="s">
        <v>4481</v>
      </c>
      <c r="K610" s="191"/>
      <c r="L610" s="248" t="s">
        <v>4482</v>
      </c>
      <c r="M610" s="210"/>
      <c r="N610" s="203" t="s">
        <v>1523</v>
      </c>
      <c r="O610" s="203" t="s">
        <v>1524</v>
      </c>
      <c r="P610" s="191" t="s">
        <v>1525</v>
      </c>
      <c r="Q610" s="192" t="s">
        <v>1526</v>
      </c>
      <c r="R610" s="192" t="s">
        <v>1527</v>
      </c>
      <c r="S610" s="206" t="s">
        <v>1528</v>
      </c>
      <c r="T610" s="199"/>
      <c r="U610" s="201"/>
      <c r="V610" s="201"/>
      <c r="W610" s="201"/>
      <c r="X610" s="201"/>
      <c r="Y610" s="201"/>
      <c r="Z610" s="202" t="str">
        <f t="shared" si="0"/>
        <v>RLOM SwitchingDevices</v>
      </c>
      <c r="AA610" s="174"/>
      <c r="AB610" s="147"/>
      <c r="AC610" s="147"/>
      <c r="AD610" s="147"/>
      <c r="AE610" s="147"/>
      <c r="AF610" s="147"/>
      <c r="AG610" s="147"/>
      <c r="AH610" s="147"/>
      <c r="AI610" s="147"/>
      <c r="AJ610" s="147"/>
      <c r="AK610" s="147"/>
      <c r="AL610" s="147"/>
      <c r="AM610" s="147"/>
      <c r="AN610" s="147"/>
    </row>
    <row r="611" spans="1:40" ht="27" customHeight="1">
      <c r="A611" s="239">
        <v>4</v>
      </c>
      <c r="B611" s="239" t="s">
        <v>363</v>
      </c>
      <c r="C611" s="239">
        <v>43</v>
      </c>
      <c r="D611" s="193" t="s">
        <v>434</v>
      </c>
      <c r="E611" s="193">
        <v>433</v>
      </c>
      <c r="F611" s="193" t="s">
        <v>1490</v>
      </c>
      <c r="G611" s="193" t="s">
        <v>1492</v>
      </c>
      <c r="H611" s="212" t="str">
        <f>HYPERLINK("http://bsdd.buildingsmart.org/#concept/details/1grZ$lBw916eqItpEAOwaY","1grZ$lBw916eqItpEAOwaY")</f>
        <v>1grZ$lBw916eqItpEAOwaY</v>
      </c>
      <c r="I611" s="123" t="s">
        <v>1529</v>
      </c>
      <c r="J611" s="195" t="s">
        <v>4483</v>
      </c>
      <c r="K611" s="191"/>
      <c r="L611" s="248" t="s">
        <v>4484</v>
      </c>
      <c r="M611" s="210"/>
      <c r="N611" s="203" t="s">
        <v>1236</v>
      </c>
      <c r="O611" s="203" t="s">
        <v>1237</v>
      </c>
      <c r="P611" s="191" t="s">
        <v>1239</v>
      </c>
      <c r="Q611" s="192" t="s">
        <v>1240</v>
      </c>
      <c r="R611" s="192" t="s">
        <v>1241</v>
      </c>
      <c r="S611" s="206" t="s">
        <v>1512</v>
      </c>
      <c r="T611" s="199"/>
      <c r="U611" s="201"/>
      <c r="V611" s="201"/>
      <c r="W611" s="201"/>
      <c r="X611" s="201"/>
      <c r="Y611" s="201"/>
      <c r="Z611" s="202" t="str">
        <f t="shared" si="0"/>
        <v>RLOM UnitaryControlElements</v>
      </c>
      <c r="AA611" s="174"/>
      <c r="AB611" s="147"/>
      <c r="AC611" s="147"/>
      <c r="AD611" s="147"/>
      <c r="AE611" s="147"/>
      <c r="AF611" s="147"/>
      <c r="AG611" s="147"/>
      <c r="AH611" s="147"/>
      <c r="AI611" s="147"/>
      <c r="AJ611" s="147"/>
      <c r="AK611" s="147"/>
      <c r="AL611" s="147"/>
      <c r="AM611" s="147"/>
      <c r="AN611" s="147"/>
    </row>
    <row r="612" spans="1:40" ht="24" customHeight="1">
      <c r="A612" s="239">
        <v>4</v>
      </c>
      <c r="B612" s="239" t="s">
        <v>363</v>
      </c>
      <c r="C612" s="239">
        <v>43</v>
      </c>
      <c r="D612" s="193" t="s">
        <v>434</v>
      </c>
      <c r="E612" s="193">
        <v>433</v>
      </c>
      <c r="F612" s="193" t="s">
        <v>1490</v>
      </c>
      <c r="G612" s="193" t="s">
        <v>1492</v>
      </c>
      <c r="H612" s="212" t="str">
        <f>HYPERLINK("http://bsdd.buildingsmart.org/#concept/details/0WRVHZoxL5ygJE$xuIbZBn","0WRVHZoxL5ygJE$xuIbZBn")</f>
        <v>0WRVHZoxL5ygJE$xuIbZBn</v>
      </c>
      <c r="I612" s="123" t="s">
        <v>5154</v>
      </c>
      <c r="J612" s="195" t="s">
        <v>4485</v>
      </c>
      <c r="K612" s="191" t="s">
        <v>1379</v>
      </c>
      <c r="L612" s="248" t="s">
        <v>4486</v>
      </c>
      <c r="M612" s="210"/>
      <c r="N612" s="203"/>
      <c r="O612" s="203"/>
      <c r="P612" s="191"/>
      <c r="Q612" s="192" t="s">
        <v>1209</v>
      </c>
      <c r="R612" s="192" t="s">
        <v>881</v>
      </c>
      <c r="S612" s="206" t="s">
        <v>1385</v>
      </c>
      <c r="T612" s="199" t="s">
        <v>1533</v>
      </c>
      <c r="U612" s="201"/>
      <c r="V612" s="201"/>
      <c r="W612" s="201"/>
      <c r="X612" s="201"/>
      <c r="Y612" s="201"/>
      <c r="Z612" s="202" t="str">
        <f t="shared" si="0"/>
        <v>RLOM CableSegments</v>
      </c>
      <c r="AA612" s="174"/>
      <c r="AB612" s="147"/>
      <c r="AC612" s="147"/>
      <c r="AD612" s="147"/>
      <c r="AE612" s="147"/>
      <c r="AF612" s="147"/>
      <c r="AG612" s="147"/>
      <c r="AH612" s="147"/>
      <c r="AI612" s="147"/>
      <c r="AJ612" s="147"/>
      <c r="AK612" s="147"/>
      <c r="AL612" s="147"/>
      <c r="AM612" s="147"/>
      <c r="AN612" s="147"/>
    </row>
    <row r="613" spans="1:40" ht="24" customHeight="1">
      <c r="A613" s="239">
        <v>4</v>
      </c>
      <c r="B613" s="239" t="s">
        <v>363</v>
      </c>
      <c r="C613" s="239">
        <v>43</v>
      </c>
      <c r="D613" s="193" t="s">
        <v>434</v>
      </c>
      <c r="E613" s="193">
        <v>433</v>
      </c>
      <c r="F613" s="193" t="s">
        <v>1490</v>
      </c>
      <c r="G613" s="193" t="s">
        <v>1492</v>
      </c>
      <c r="H613" s="212" t="str">
        <f>HYPERLINK("http://bsdd.buildingsmart.org/#concept/details/1gSX6IBJL0mR6DTnFw440W","1gSX6IBJL0mR6DTnFw440W")</f>
        <v>1gSX6IBJL0mR6DTnFw440W</v>
      </c>
      <c r="I613" s="123" t="s">
        <v>5155</v>
      </c>
      <c r="J613" s="195" t="s">
        <v>4487</v>
      </c>
      <c r="K613" s="191" t="s">
        <v>1490</v>
      </c>
      <c r="L613" s="248" t="s">
        <v>4488</v>
      </c>
      <c r="M613" s="210"/>
      <c r="N613" s="203"/>
      <c r="O613" s="203"/>
      <c r="P613" s="191"/>
      <c r="Q613" s="192" t="s">
        <v>1395</v>
      </c>
      <c r="R613" s="192" t="s">
        <v>1396</v>
      </c>
      <c r="S613" s="206" t="s">
        <v>1463</v>
      </c>
      <c r="T613" s="199"/>
      <c r="U613" s="201"/>
      <c r="V613" s="201"/>
      <c r="W613" s="201"/>
      <c r="X613" s="201"/>
      <c r="Y613" s="201"/>
      <c r="Z613" s="202" t="str">
        <f t="shared" si="0"/>
        <v>RLOM ElectricDistributionBoards</v>
      </c>
      <c r="AA613" s="174"/>
      <c r="AB613" s="147"/>
      <c r="AC613" s="147"/>
      <c r="AD613" s="147"/>
      <c r="AE613" s="147"/>
      <c r="AF613" s="147"/>
      <c r="AG613" s="147"/>
      <c r="AH613" s="147"/>
      <c r="AI613" s="147"/>
      <c r="AJ613" s="147"/>
      <c r="AK613" s="147"/>
      <c r="AL613" s="147"/>
      <c r="AM613" s="147"/>
      <c r="AN613" s="147"/>
    </row>
    <row r="614" spans="1:40" ht="27" customHeight="1">
      <c r="A614" s="239">
        <v>4</v>
      </c>
      <c r="B614" s="239" t="s">
        <v>363</v>
      </c>
      <c r="C614" s="239">
        <v>43</v>
      </c>
      <c r="D614" s="193" t="s">
        <v>434</v>
      </c>
      <c r="E614" s="193">
        <v>433</v>
      </c>
      <c r="F614" s="193" t="s">
        <v>1490</v>
      </c>
      <c r="G614" s="193" t="s">
        <v>1492</v>
      </c>
      <c r="H614" s="212" t="str">
        <f>HYPERLINK("http://bsdd.buildingsmart.org/#concept/details/3vHOWqoT0Hsm00051Mm008","3vHOWqoT0Hsm00051Mm008")</f>
        <v>3vHOWqoT0Hsm00051Mm008</v>
      </c>
      <c r="I614" s="123" t="s">
        <v>1544</v>
      </c>
      <c r="J614" s="195" t="s">
        <v>4489</v>
      </c>
      <c r="K614" s="191"/>
      <c r="L614" s="248" t="s">
        <v>4490</v>
      </c>
      <c r="M614" s="210"/>
      <c r="N614" s="203" t="s">
        <v>1280</v>
      </c>
      <c r="O614" s="203" t="s">
        <v>1281</v>
      </c>
      <c r="P614" s="191" t="s">
        <v>1282</v>
      </c>
      <c r="Q614" s="192" t="s">
        <v>1014</v>
      </c>
      <c r="R614" s="192" t="s">
        <v>1015</v>
      </c>
      <c r="S614" s="206" t="s">
        <v>1016</v>
      </c>
      <c r="T614" s="199"/>
      <c r="U614" s="201"/>
      <c r="V614" s="201"/>
      <c r="W614" s="201"/>
      <c r="X614" s="201"/>
      <c r="Y614" s="201"/>
      <c r="Z614" s="202" t="str">
        <f t="shared" si="0"/>
        <v>RLOM JunctionBoxs</v>
      </c>
      <c r="AA614" s="174"/>
      <c r="AB614" s="147"/>
      <c r="AC614" s="147"/>
      <c r="AD614" s="147"/>
      <c r="AE614" s="147"/>
      <c r="AF614" s="147"/>
      <c r="AG614" s="147"/>
      <c r="AH614" s="147"/>
      <c r="AI614" s="147"/>
      <c r="AJ614" s="147"/>
      <c r="AK614" s="147"/>
      <c r="AL614" s="147"/>
      <c r="AM614" s="147"/>
      <c r="AN614" s="147"/>
    </row>
    <row r="615" spans="1:40" ht="45" customHeight="1">
      <c r="A615" s="239">
        <v>4</v>
      </c>
      <c r="B615" s="239" t="s">
        <v>363</v>
      </c>
      <c r="C615" s="239">
        <v>43</v>
      </c>
      <c r="D615" s="193" t="s">
        <v>434</v>
      </c>
      <c r="E615" s="193">
        <v>433</v>
      </c>
      <c r="F615" s="193" t="s">
        <v>1490</v>
      </c>
      <c r="G615" s="193" t="s">
        <v>1492</v>
      </c>
      <c r="H615" s="212" t="str">
        <f>HYPERLINK("http://bsdd.buildingsmart.org/#concept/details/3dRVodONPCoP01i$qGS79n","3dRVodONPCoP01i$qGS79n")</f>
        <v>3dRVodONPCoP01i$qGS79n</v>
      </c>
      <c r="I615" s="123" t="s">
        <v>1549</v>
      </c>
      <c r="J615" s="195" t="s">
        <v>4491</v>
      </c>
      <c r="K615" s="191" t="s">
        <v>1550</v>
      </c>
      <c r="L615" s="248" t="s">
        <v>4476</v>
      </c>
      <c r="M615" s="210"/>
      <c r="N615" s="203" t="s">
        <v>1551</v>
      </c>
      <c r="O615" s="203" t="s">
        <v>1552</v>
      </c>
      <c r="P615" s="191" t="s">
        <v>1553</v>
      </c>
      <c r="Q615" s="192" t="s">
        <v>1240</v>
      </c>
      <c r="R615" s="192" t="s">
        <v>1241</v>
      </c>
      <c r="S615" s="206" t="s">
        <v>1242</v>
      </c>
      <c r="T615" s="199"/>
      <c r="U615" s="201"/>
      <c r="V615" s="201"/>
      <c r="W615" s="201"/>
      <c r="X615" s="201"/>
      <c r="Y615" s="201"/>
      <c r="Z615" s="202" t="str">
        <f t="shared" si="0"/>
        <v>RLOM UnitaryControlElements</v>
      </c>
      <c r="AA615" s="174"/>
      <c r="AB615" s="147"/>
      <c r="AC615" s="147"/>
      <c r="AD615" s="147"/>
      <c r="AE615" s="147"/>
      <c r="AF615" s="147"/>
      <c r="AG615" s="147"/>
      <c r="AH615" s="147"/>
      <c r="AI615" s="147"/>
      <c r="AJ615" s="147"/>
      <c r="AK615" s="147"/>
      <c r="AL615" s="147"/>
      <c r="AM615" s="147"/>
      <c r="AN615" s="147"/>
    </row>
    <row r="616" spans="1:40" ht="27" customHeight="1">
      <c r="A616" s="239">
        <v>4</v>
      </c>
      <c r="B616" s="239" t="s">
        <v>363</v>
      </c>
      <c r="C616" s="239">
        <v>43</v>
      </c>
      <c r="D616" s="193" t="s">
        <v>434</v>
      </c>
      <c r="E616" s="193">
        <v>433</v>
      </c>
      <c r="F616" s="193" t="s">
        <v>1490</v>
      </c>
      <c r="G616" s="193" t="s">
        <v>1492</v>
      </c>
      <c r="H616" s="212" t="str">
        <f>HYPERLINK("http://bsdd.buildingsmart.org/#concept/details/3C7UPWe2145xTMqs4QEC5l","3C7UPWe2145xTMqs4QEC5l")</f>
        <v>3C7UPWe2145xTMqs4QEC5l</v>
      </c>
      <c r="I616" s="123" t="s">
        <v>1557</v>
      </c>
      <c r="J616" s="195" t="s">
        <v>4492</v>
      </c>
      <c r="K616" s="191"/>
      <c r="L616" s="248" t="s">
        <v>4493</v>
      </c>
      <c r="M616" s="210"/>
      <c r="N616" s="203" t="s">
        <v>1560</v>
      </c>
      <c r="O616" s="203" t="s">
        <v>1544</v>
      </c>
      <c r="P616" s="191" t="s">
        <v>1563</v>
      </c>
      <c r="Q616" s="192" t="s">
        <v>1014</v>
      </c>
      <c r="R616" s="192" t="s">
        <v>1015</v>
      </c>
      <c r="S616" s="206" t="s">
        <v>1016</v>
      </c>
      <c r="T616" s="199"/>
      <c r="U616" s="201"/>
      <c r="V616" s="201"/>
      <c r="W616" s="201"/>
      <c r="X616" s="201"/>
      <c r="Y616" s="201"/>
      <c r="Z616" s="202" t="str">
        <f t="shared" si="0"/>
        <v>RLOM JunctionBoxs</v>
      </c>
      <c r="AA616" s="174"/>
      <c r="AB616" s="147"/>
      <c r="AC616" s="147"/>
      <c r="AD616" s="147"/>
      <c r="AE616" s="147"/>
      <c r="AF616" s="147"/>
      <c r="AG616" s="147"/>
      <c r="AH616" s="147"/>
      <c r="AI616" s="147"/>
      <c r="AJ616" s="147"/>
      <c r="AK616" s="147"/>
      <c r="AL616" s="147"/>
      <c r="AM616" s="147"/>
      <c r="AN616" s="147"/>
    </row>
    <row r="617" spans="1:40" ht="21.75" customHeight="1">
      <c r="A617" s="239">
        <v>4</v>
      </c>
      <c r="B617" s="239" t="s">
        <v>363</v>
      </c>
      <c r="C617" s="239">
        <v>43</v>
      </c>
      <c r="D617" s="193" t="s">
        <v>434</v>
      </c>
      <c r="E617" s="193">
        <v>433</v>
      </c>
      <c r="F617" s="193" t="s">
        <v>1490</v>
      </c>
      <c r="G617" s="193" t="s">
        <v>1492</v>
      </c>
      <c r="H617" s="212" t="str">
        <f>HYPERLINK("http://bsdd.buildingsmart.org/#concept/details/3GWeaAx7D2vRWtZHExWGBq","3GWeaAx7D2vRWtZHExWGBq")</f>
        <v>3GWeaAx7D2vRWtZHExWGBq</v>
      </c>
      <c r="I617" s="123" t="s">
        <v>1341</v>
      </c>
      <c r="J617" s="195" t="s">
        <v>4443</v>
      </c>
      <c r="K617" s="191" t="s">
        <v>1568</v>
      </c>
      <c r="L617" s="248" t="s">
        <v>4444</v>
      </c>
      <c r="M617" s="210"/>
      <c r="N617" s="203" t="s">
        <v>1344</v>
      </c>
      <c r="O617" s="203" t="s">
        <v>1346</v>
      </c>
      <c r="P617" s="191" t="s">
        <v>1341</v>
      </c>
      <c r="Q617" s="192" t="s">
        <v>1347</v>
      </c>
      <c r="R617" s="192" t="s">
        <v>1348</v>
      </c>
      <c r="S617" s="206" t="s">
        <v>1349</v>
      </c>
      <c r="T617" s="199"/>
      <c r="U617" s="201"/>
      <c r="V617" s="201"/>
      <c r="W617" s="201"/>
      <c r="X617" s="201"/>
      <c r="Y617" s="201"/>
      <c r="Z617" s="202" t="str">
        <f t="shared" si="0"/>
        <v>RLOM Outlets</v>
      </c>
      <c r="AA617" s="174"/>
      <c r="AB617" s="147"/>
      <c r="AC617" s="147"/>
      <c r="AD617" s="147"/>
      <c r="AE617" s="147"/>
      <c r="AF617" s="147"/>
      <c r="AG617" s="147"/>
      <c r="AH617" s="147"/>
      <c r="AI617" s="147"/>
      <c r="AJ617" s="147"/>
      <c r="AK617" s="147"/>
      <c r="AL617" s="147"/>
      <c r="AM617" s="147"/>
      <c r="AN617" s="147"/>
    </row>
    <row r="618" spans="1:40" ht="45" customHeight="1">
      <c r="A618" s="239">
        <v>4</v>
      </c>
      <c r="B618" s="239" t="s">
        <v>363</v>
      </c>
      <c r="C618" s="239">
        <v>43</v>
      </c>
      <c r="D618" s="193" t="s">
        <v>434</v>
      </c>
      <c r="E618" s="193">
        <v>433</v>
      </c>
      <c r="F618" s="193" t="s">
        <v>1490</v>
      </c>
      <c r="G618" s="193" t="s">
        <v>1492</v>
      </c>
      <c r="H618" s="212" t="str">
        <f>HYPERLINK("http://bsdd.buildingsmart.org/#concept/details/3N_z80I6yHuO00025QrE$V","3N_z80I6yHuO00025QrE$V")</f>
        <v>3N_z80I6yHuO00025QrE$V</v>
      </c>
      <c r="I618" s="123" t="s">
        <v>1573</v>
      </c>
      <c r="J618" s="195" t="s">
        <v>4494</v>
      </c>
      <c r="K618" s="191"/>
      <c r="L618" s="248" t="s">
        <v>4495</v>
      </c>
      <c r="M618" s="210"/>
      <c r="N618" s="203" t="s">
        <v>1551</v>
      </c>
      <c r="O618" s="203" t="s">
        <v>1552</v>
      </c>
      <c r="P618" s="191" t="s">
        <v>1553</v>
      </c>
      <c r="Q618" s="192" t="s">
        <v>1240</v>
      </c>
      <c r="R618" s="192" t="s">
        <v>1241</v>
      </c>
      <c r="S618" s="206" t="s">
        <v>1576</v>
      </c>
      <c r="T618" s="199"/>
      <c r="U618" s="201"/>
      <c r="V618" s="201"/>
      <c r="W618" s="201"/>
      <c r="X618" s="201"/>
      <c r="Y618" s="201"/>
      <c r="Z618" s="202" t="str">
        <f t="shared" si="0"/>
        <v>RLOM UnitaryControlElements</v>
      </c>
      <c r="AA618" s="174"/>
      <c r="AB618" s="147"/>
      <c r="AC618" s="147"/>
      <c r="AD618" s="147"/>
      <c r="AE618" s="147"/>
      <c r="AF618" s="147"/>
      <c r="AG618" s="147"/>
      <c r="AH618" s="147"/>
      <c r="AI618" s="147"/>
      <c r="AJ618" s="147"/>
      <c r="AK618" s="147"/>
      <c r="AL618" s="147"/>
      <c r="AM618" s="147"/>
      <c r="AN618" s="147"/>
    </row>
    <row r="619" spans="1:40" ht="27" customHeight="1">
      <c r="A619" s="239">
        <v>4</v>
      </c>
      <c r="B619" s="239" t="s">
        <v>363</v>
      </c>
      <c r="C619" s="239">
        <v>43</v>
      </c>
      <c r="D619" s="193" t="s">
        <v>434</v>
      </c>
      <c r="E619" s="193">
        <v>433</v>
      </c>
      <c r="F619" s="193" t="s">
        <v>1490</v>
      </c>
      <c r="G619" s="193" t="s">
        <v>1492</v>
      </c>
      <c r="H619" s="212" t="str">
        <f>HYPERLINK("http://bsdd.buildingsmart.org/#concept/details/2E737ZulL8NR$2NH4ccMkY","2E737ZulL8NR$2NH4ccMkY")</f>
        <v>2E737ZulL8NR$2NH4ccMkY</v>
      </c>
      <c r="I619" s="123" t="s">
        <v>1577</v>
      </c>
      <c r="J619" s="195" t="s">
        <v>4496</v>
      </c>
      <c r="K619" s="191"/>
      <c r="L619" s="248" t="s">
        <v>4497</v>
      </c>
      <c r="M619" s="210"/>
      <c r="N619" s="203" t="s">
        <v>1280</v>
      </c>
      <c r="O619" s="203" t="s">
        <v>1281</v>
      </c>
      <c r="P619" s="191" t="s">
        <v>1282</v>
      </c>
      <c r="Q619" s="192" t="s">
        <v>1014</v>
      </c>
      <c r="R619" s="192" t="s">
        <v>1015</v>
      </c>
      <c r="S619" s="206" t="s">
        <v>1016</v>
      </c>
      <c r="T619" s="199"/>
      <c r="U619" s="201"/>
      <c r="V619" s="201"/>
      <c r="W619" s="201"/>
      <c r="X619" s="201"/>
      <c r="Y619" s="201"/>
      <c r="Z619" s="202" t="str">
        <f t="shared" si="0"/>
        <v>RLOM JunctionBoxs</v>
      </c>
      <c r="AA619" s="174"/>
      <c r="AB619" s="147"/>
      <c r="AC619" s="147"/>
      <c r="AD619" s="147"/>
      <c r="AE619" s="147"/>
      <c r="AF619" s="147"/>
      <c r="AG619" s="147"/>
      <c r="AH619" s="147"/>
      <c r="AI619" s="147"/>
      <c r="AJ619" s="147"/>
      <c r="AK619" s="147"/>
      <c r="AL619" s="147"/>
      <c r="AM619" s="147"/>
      <c r="AN619" s="147"/>
    </row>
    <row r="620" spans="1:40" ht="27" customHeight="1">
      <c r="A620" s="239">
        <v>4</v>
      </c>
      <c r="B620" s="239" t="s">
        <v>363</v>
      </c>
      <c r="C620" s="239">
        <v>43</v>
      </c>
      <c r="D620" s="193" t="s">
        <v>434</v>
      </c>
      <c r="E620" s="193">
        <v>433</v>
      </c>
      <c r="F620" s="193" t="s">
        <v>1490</v>
      </c>
      <c r="G620" s="193" t="s">
        <v>1492</v>
      </c>
      <c r="H620" s="212" t="str">
        <f>HYPERLINK("http://bsdd.buildingsmart.org/#concept/details/3ClM1E1g14bQ$FbXUuhMlj","3ClM1E1g14bQ$FbXUuhMlj")</f>
        <v>3ClM1E1g14bQ$FbXUuhMlj</v>
      </c>
      <c r="I620" s="123" t="s">
        <v>5156</v>
      </c>
      <c r="J620" s="195" t="s">
        <v>4498</v>
      </c>
      <c r="K620" s="191" t="s">
        <v>1580</v>
      </c>
      <c r="L620" s="248" t="s">
        <v>4499</v>
      </c>
      <c r="M620" s="210"/>
      <c r="N620" s="203" t="s">
        <v>1460</v>
      </c>
      <c r="O620" s="203" t="s">
        <v>1461</v>
      </c>
      <c r="P620" s="191" t="s">
        <v>1462</v>
      </c>
      <c r="Q620" s="192" t="s">
        <v>1395</v>
      </c>
      <c r="R620" s="192" t="s">
        <v>1396</v>
      </c>
      <c r="S620" s="206" t="s">
        <v>1463</v>
      </c>
      <c r="T620" s="199"/>
      <c r="U620" s="201"/>
      <c r="V620" s="201"/>
      <c r="W620" s="201"/>
      <c r="X620" s="201"/>
      <c r="Y620" s="201"/>
      <c r="Z620" s="202" t="str">
        <f t="shared" si="0"/>
        <v>RLOM ElectricDistributionBoards</v>
      </c>
      <c r="AA620" s="174"/>
      <c r="AB620" s="147"/>
      <c r="AC620" s="147"/>
      <c r="AD620" s="147"/>
      <c r="AE620" s="147"/>
      <c r="AF620" s="147"/>
      <c r="AG620" s="147"/>
      <c r="AH620" s="147"/>
      <c r="AI620" s="147"/>
      <c r="AJ620" s="147"/>
      <c r="AK620" s="147"/>
      <c r="AL620" s="147"/>
      <c r="AM620" s="147"/>
      <c r="AN620" s="147"/>
    </row>
    <row r="621" spans="1:40" ht="27" customHeight="1">
      <c r="A621" s="239">
        <v>4</v>
      </c>
      <c r="B621" s="239" t="s">
        <v>363</v>
      </c>
      <c r="C621" s="239">
        <v>43</v>
      </c>
      <c r="D621" s="193" t="s">
        <v>434</v>
      </c>
      <c r="E621" s="193">
        <v>434</v>
      </c>
      <c r="F621" s="193" t="s">
        <v>1582</v>
      </c>
      <c r="G621" s="193" t="s">
        <v>1583</v>
      </c>
      <c r="H621" s="212" t="str">
        <f>HYPERLINK("http://bsdd.buildingsmart.org/#concept/details/3vHRWOoT0Hsm00051Mm008","3vHRWOoT0Hsm00051Mm008")</f>
        <v>3vHRWOoT0Hsm00051Mm008</v>
      </c>
      <c r="I621" s="123" t="s">
        <v>1584</v>
      </c>
      <c r="J621" s="195" t="s">
        <v>4500</v>
      </c>
      <c r="K621" s="191"/>
      <c r="L621" s="248" t="s">
        <v>4501</v>
      </c>
      <c r="M621" s="210"/>
      <c r="N621" s="203" t="s">
        <v>1586</v>
      </c>
      <c r="O621" s="203" t="s">
        <v>1587</v>
      </c>
      <c r="P621" s="191" t="s">
        <v>1588</v>
      </c>
      <c r="Q621" s="192" t="s">
        <v>559</v>
      </c>
      <c r="R621" s="192" t="s">
        <v>625</v>
      </c>
      <c r="S621" s="206" t="s">
        <v>1589</v>
      </c>
      <c r="T621" s="199"/>
      <c r="U621" s="201"/>
      <c r="V621" s="201"/>
      <c r="W621" s="201"/>
      <c r="X621" s="201"/>
      <c r="Y621" s="201"/>
      <c r="Z621" s="202" t="str">
        <f t="shared" si="0"/>
        <v>RLOM Sensors</v>
      </c>
      <c r="AA621" s="174"/>
      <c r="AB621" s="147"/>
      <c r="AC621" s="147"/>
      <c r="AD621" s="147"/>
      <c r="AE621" s="147"/>
      <c r="AF621" s="147"/>
      <c r="AG621" s="147"/>
      <c r="AH621" s="147"/>
      <c r="AI621" s="147"/>
      <c r="AJ621" s="147"/>
      <c r="AK621" s="147"/>
      <c r="AL621" s="147"/>
      <c r="AM621" s="147"/>
      <c r="AN621" s="147"/>
    </row>
    <row r="622" spans="1:40" ht="27" customHeight="1">
      <c r="A622" s="239">
        <v>4</v>
      </c>
      <c r="B622" s="239" t="s">
        <v>363</v>
      </c>
      <c r="C622" s="239">
        <v>43</v>
      </c>
      <c r="D622" s="193" t="s">
        <v>434</v>
      </c>
      <c r="E622" s="193">
        <v>434</v>
      </c>
      <c r="F622" s="193" t="s">
        <v>1582</v>
      </c>
      <c r="G622" s="193" t="s">
        <v>1583</v>
      </c>
      <c r="H622" s="212" t="str">
        <f>HYPERLINK("http://bsdd.buildingsmart.org/#concept/details/24lk32o1f9Be7tRBeOhTV9","24lk32o1f9Be7tRBeOhTV9")</f>
        <v>24lk32o1f9Be7tRBeOhTV9</v>
      </c>
      <c r="I622" s="123" t="s">
        <v>5157</v>
      </c>
      <c r="J622" s="195" t="s">
        <v>4502</v>
      </c>
      <c r="K622" s="191" t="s">
        <v>1379</v>
      </c>
      <c r="L622" s="248" t="s">
        <v>4503</v>
      </c>
      <c r="M622" s="210"/>
      <c r="N622" s="203"/>
      <c r="O622" s="203"/>
      <c r="P622" s="191"/>
      <c r="Q622" s="192" t="s">
        <v>1209</v>
      </c>
      <c r="R622" s="192" t="s">
        <v>881</v>
      </c>
      <c r="S622" s="206" t="s">
        <v>1385</v>
      </c>
      <c r="T622" s="199"/>
      <c r="U622" s="201"/>
      <c r="V622" s="201"/>
      <c r="W622" s="201"/>
      <c r="X622" s="201"/>
      <c r="Y622" s="201"/>
      <c r="Z622" s="202" t="str">
        <f t="shared" si="0"/>
        <v>RLOM CableSegments</v>
      </c>
      <c r="AA622" s="174"/>
      <c r="AB622" s="147"/>
      <c r="AC622" s="147"/>
      <c r="AD622" s="147"/>
      <c r="AE622" s="147"/>
      <c r="AF622" s="147"/>
      <c r="AG622" s="147"/>
      <c r="AH622" s="147"/>
      <c r="AI622" s="147"/>
      <c r="AJ622" s="147"/>
      <c r="AK622" s="147"/>
      <c r="AL622" s="147"/>
      <c r="AM622" s="147"/>
      <c r="AN622" s="147"/>
    </row>
    <row r="623" spans="1:40" ht="27" customHeight="1">
      <c r="A623" s="239">
        <v>4</v>
      </c>
      <c r="B623" s="239" t="s">
        <v>363</v>
      </c>
      <c r="C623" s="239">
        <v>43</v>
      </c>
      <c r="D623" s="193" t="s">
        <v>434</v>
      </c>
      <c r="E623" s="193">
        <v>434</v>
      </c>
      <c r="F623" s="193" t="s">
        <v>1582</v>
      </c>
      <c r="G623" s="193" t="s">
        <v>1583</v>
      </c>
      <c r="H623" s="212" t="str">
        <f>HYPERLINK("http://bsdd.buildingsmart.org/#concept/details/0QXNqIaY58ARlIeBKvxECI","0QXNqIaY58ARlIeBKvxECI")</f>
        <v>0QXNqIaY58ARlIeBKvxECI</v>
      </c>
      <c r="I623" s="123" t="s">
        <v>5158</v>
      </c>
      <c r="J623" s="195" t="s">
        <v>4504</v>
      </c>
      <c r="K623" s="191" t="s">
        <v>1598</v>
      </c>
      <c r="L623" s="248" t="s">
        <v>4505</v>
      </c>
      <c r="M623" s="210"/>
      <c r="N623" s="203"/>
      <c r="O623" s="203"/>
      <c r="P623" s="191"/>
      <c r="Q623" s="192" t="s">
        <v>1395</v>
      </c>
      <c r="R623" s="192" t="s">
        <v>1396</v>
      </c>
      <c r="S623" s="206" t="s">
        <v>1463</v>
      </c>
      <c r="T623" s="199"/>
      <c r="U623" s="201"/>
      <c r="V623" s="201"/>
      <c r="W623" s="201"/>
      <c r="X623" s="201"/>
      <c r="Y623" s="201"/>
      <c r="Z623" s="202" t="str">
        <f t="shared" si="0"/>
        <v>RLOM ElectricDistributionBoards</v>
      </c>
      <c r="AA623" s="174"/>
      <c r="AB623" s="147"/>
      <c r="AC623" s="147"/>
      <c r="AD623" s="147"/>
      <c r="AE623" s="147"/>
      <c r="AF623" s="147"/>
      <c r="AG623" s="147"/>
      <c r="AH623" s="147"/>
      <c r="AI623" s="147"/>
      <c r="AJ623" s="147"/>
      <c r="AK623" s="147"/>
      <c r="AL623" s="147"/>
      <c r="AM623" s="147"/>
      <c r="AN623" s="147"/>
    </row>
    <row r="624" spans="1:40" ht="27" customHeight="1">
      <c r="A624" s="239">
        <v>4</v>
      </c>
      <c r="B624" s="239" t="s">
        <v>363</v>
      </c>
      <c r="C624" s="239">
        <v>43</v>
      </c>
      <c r="D624" s="193" t="s">
        <v>434</v>
      </c>
      <c r="E624" s="193">
        <v>434</v>
      </c>
      <c r="F624" s="193" t="s">
        <v>1582</v>
      </c>
      <c r="G624" s="193" t="s">
        <v>1583</v>
      </c>
      <c r="H624" s="212" t="str">
        <f>HYPERLINK("http://bsdd.buildingsmart.org/#concept/details/3vHMYuoT0Hsm00051Mm008","3vHMYuoT0Hsm00051Mm008")</f>
        <v>3vHMYuoT0Hsm00051Mm008</v>
      </c>
      <c r="I624" s="123" t="s">
        <v>1603</v>
      </c>
      <c r="J624" s="195" t="s">
        <v>4506</v>
      </c>
      <c r="K624" s="191"/>
      <c r="L624" s="248" t="s">
        <v>4507</v>
      </c>
      <c r="M624" s="210"/>
      <c r="N624" s="203" t="s">
        <v>1496</v>
      </c>
      <c r="O624" s="203" t="s">
        <v>1497</v>
      </c>
      <c r="P624" s="191" t="s">
        <v>1608</v>
      </c>
      <c r="Q624" s="192" t="s">
        <v>986</v>
      </c>
      <c r="R624" s="192"/>
      <c r="S624" s="206"/>
      <c r="T624" s="199"/>
      <c r="U624" s="201"/>
      <c r="V624" s="201"/>
      <c r="W624" s="201"/>
      <c r="X624" s="201"/>
      <c r="Y624" s="201"/>
      <c r="Z624" s="202" t="str">
        <f t="shared" si="0"/>
        <v>RLOM Valves</v>
      </c>
      <c r="AA624" s="174"/>
      <c r="AB624" s="147"/>
      <c r="AC624" s="147"/>
      <c r="AD624" s="147"/>
      <c r="AE624" s="147"/>
      <c r="AF624" s="147"/>
      <c r="AG624" s="147"/>
      <c r="AH624" s="147"/>
      <c r="AI624" s="147"/>
      <c r="AJ624" s="147"/>
      <c r="AK624" s="147"/>
      <c r="AL624" s="147"/>
      <c r="AM624" s="147"/>
      <c r="AN624" s="147"/>
    </row>
    <row r="625" spans="1:40" ht="27" customHeight="1">
      <c r="A625" s="239">
        <v>4</v>
      </c>
      <c r="B625" s="239" t="s">
        <v>363</v>
      </c>
      <c r="C625" s="239">
        <v>43</v>
      </c>
      <c r="D625" s="193" t="s">
        <v>434</v>
      </c>
      <c r="E625" s="193">
        <v>434</v>
      </c>
      <c r="F625" s="193" t="s">
        <v>1582</v>
      </c>
      <c r="G625" s="193" t="s">
        <v>1583</v>
      </c>
      <c r="H625" s="212" t="str">
        <f>HYPERLINK("http://bsdd.buildingsmart.org/#concept/details/3IDC97O4T1CuMtUCqyFQPu","3IDC97O4T1CuMtUCqyFQPu")</f>
        <v>3IDC97O4T1CuMtUCqyFQPu</v>
      </c>
      <c r="I625" s="123" t="s">
        <v>1610</v>
      </c>
      <c r="J625" s="195" t="s">
        <v>4508</v>
      </c>
      <c r="K625" s="191"/>
      <c r="L625" s="248" t="s">
        <v>4509</v>
      </c>
      <c r="M625" s="210"/>
      <c r="N625" s="203" t="s">
        <v>1496</v>
      </c>
      <c r="O625" s="203" t="s">
        <v>1497</v>
      </c>
      <c r="P625" s="191" t="s">
        <v>1608</v>
      </c>
      <c r="Q625" s="192" t="s">
        <v>986</v>
      </c>
      <c r="R625" s="192" t="s">
        <v>987</v>
      </c>
      <c r="S625" s="206" t="s">
        <v>1613</v>
      </c>
      <c r="T625" s="199"/>
      <c r="U625" s="201"/>
      <c r="V625" s="201"/>
      <c r="W625" s="201"/>
      <c r="X625" s="201"/>
      <c r="Y625" s="201"/>
      <c r="Z625" s="202" t="str">
        <f t="shared" si="0"/>
        <v>RLOM Valves</v>
      </c>
      <c r="AA625" s="174"/>
      <c r="AB625" s="147"/>
      <c r="AC625" s="147"/>
      <c r="AD625" s="147"/>
      <c r="AE625" s="147"/>
      <c r="AF625" s="147"/>
      <c r="AG625" s="147"/>
      <c r="AH625" s="147"/>
      <c r="AI625" s="147"/>
      <c r="AJ625" s="147"/>
      <c r="AK625" s="147"/>
      <c r="AL625" s="147"/>
      <c r="AM625" s="147"/>
      <c r="AN625" s="147"/>
    </row>
    <row r="626" spans="1:40" ht="33" customHeight="1">
      <c r="A626" s="239">
        <v>4</v>
      </c>
      <c r="B626" s="239" t="s">
        <v>363</v>
      </c>
      <c r="C626" s="239">
        <v>43</v>
      </c>
      <c r="D626" s="193" t="s">
        <v>434</v>
      </c>
      <c r="E626" s="193">
        <v>434</v>
      </c>
      <c r="F626" s="193" t="s">
        <v>1582</v>
      </c>
      <c r="G626" s="193" t="s">
        <v>1583</v>
      </c>
      <c r="H626" s="212" t="str">
        <f>HYPERLINK("http://bsdd.buildingsmart.org/#concept/details/27zTh8rNLDSAijelzUDvKT","27zTh8rNLDSAijelzUDvKT")</f>
        <v>27zTh8rNLDSAijelzUDvKT</v>
      </c>
      <c r="I626" s="123" t="s">
        <v>5159</v>
      </c>
      <c r="J626" s="195" t="s">
        <v>4510</v>
      </c>
      <c r="K626" s="191"/>
      <c r="L626" s="248" t="s">
        <v>4511</v>
      </c>
      <c r="M626" s="210"/>
      <c r="N626" s="203" t="s">
        <v>1344</v>
      </c>
      <c r="O626" s="203" t="s">
        <v>1346</v>
      </c>
      <c r="P626" s="191" t="s">
        <v>1341</v>
      </c>
      <c r="Q626" s="192" t="s">
        <v>1347</v>
      </c>
      <c r="R626" s="192" t="s">
        <v>1348</v>
      </c>
      <c r="S626" s="206" t="s">
        <v>1349</v>
      </c>
      <c r="T626" s="199"/>
      <c r="U626" s="201"/>
      <c r="V626" s="201"/>
      <c r="W626" s="201"/>
      <c r="X626" s="201"/>
      <c r="Y626" s="201"/>
      <c r="Z626" s="202" t="str">
        <f t="shared" si="0"/>
        <v>RLOM Outlets</v>
      </c>
      <c r="AA626" s="174"/>
      <c r="AB626" s="147"/>
      <c r="AC626" s="147"/>
      <c r="AD626" s="147"/>
      <c r="AE626" s="147"/>
      <c r="AF626" s="147"/>
      <c r="AG626" s="147"/>
      <c r="AH626" s="147"/>
      <c r="AI626" s="147"/>
      <c r="AJ626" s="147"/>
      <c r="AK626" s="147"/>
      <c r="AL626" s="147"/>
      <c r="AM626" s="147"/>
      <c r="AN626" s="147"/>
    </row>
    <row r="627" spans="1:40" ht="27" customHeight="1">
      <c r="A627" s="239">
        <v>4</v>
      </c>
      <c r="B627" s="239" t="s">
        <v>363</v>
      </c>
      <c r="C627" s="239">
        <v>43</v>
      </c>
      <c r="D627" s="193" t="s">
        <v>434</v>
      </c>
      <c r="E627" s="193">
        <v>434</v>
      </c>
      <c r="F627" s="193" t="s">
        <v>1582</v>
      </c>
      <c r="G627" s="193" t="s">
        <v>1616</v>
      </c>
      <c r="H627" s="212" t="str">
        <f>HYPERLINK("http://bsdd.buildingsmart.org/#concept/details/06MjEdzjL2wvfikp7ApUKf","06MjEdzjL2wvfikp7ApUKf")</f>
        <v>06MjEdzjL2wvfikp7ApUKf</v>
      </c>
      <c r="I627" s="123" t="s">
        <v>5160</v>
      </c>
      <c r="J627" s="195" t="s">
        <v>4512</v>
      </c>
      <c r="K627" s="191"/>
      <c r="L627" s="248" t="s">
        <v>4513</v>
      </c>
      <c r="M627" s="210"/>
      <c r="N627" s="203"/>
      <c r="O627" s="203"/>
      <c r="P627" s="191"/>
      <c r="Q627" s="192" t="s">
        <v>1395</v>
      </c>
      <c r="R627" s="192" t="s">
        <v>1396</v>
      </c>
      <c r="S627" s="206" t="s">
        <v>1463</v>
      </c>
      <c r="T627" s="199"/>
      <c r="U627" s="201"/>
      <c r="V627" s="201"/>
      <c r="W627" s="201"/>
      <c r="X627" s="201"/>
      <c r="Y627" s="201"/>
      <c r="Z627" s="202" t="str">
        <f t="shared" si="0"/>
        <v>RLOM ElectricDistributionBoards</v>
      </c>
      <c r="AA627" s="174"/>
      <c r="AB627" s="147"/>
      <c r="AC627" s="147"/>
      <c r="AD627" s="147"/>
      <c r="AE627" s="147"/>
      <c r="AF627" s="147"/>
      <c r="AG627" s="147"/>
      <c r="AH627" s="147"/>
      <c r="AI627" s="147"/>
      <c r="AJ627" s="147"/>
      <c r="AK627" s="147"/>
      <c r="AL627" s="147"/>
      <c r="AM627" s="147"/>
      <c r="AN627" s="147"/>
    </row>
    <row r="628" spans="1:40" ht="27" customHeight="1">
      <c r="A628" s="239">
        <v>4</v>
      </c>
      <c r="B628" s="239" t="s">
        <v>363</v>
      </c>
      <c r="C628" s="239">
        <v>43</v>
      </c>
      <c r="D628" s="193" t="s">
        <v>434</v>
      </c>
      <c r="E628" s="193">
        <v>435</v>
      </c>
      <c r="F628" s="193" t="s">
        <v>1620</v>
      </c>
      <c r="G628" s="193" t="s">
        <v>1621</v>
      </c>
      <c r="H628" s="212" t="str">
        <f>HYPERLINK("http://bsdd.buildingsmart.org/#concept/details/1V1lbQRnXETRBJ4QQu6f_7","1V1lbQRnXETRBJ4QQu6f_7")</f>
        <v>1V1lbQRnXETRBJ4QQu6f_7</v>
      </c>
      <c r="I628" s="123" t="s">
        <v>5161</v>
      </c>
      <c r="J628" s="195" t="s">
        <v>4514</v>
      </c>
      <c r="K628" s="191" t="s">
        <v>1623</v>
      </c>
      <c r="L628" s="248" t="s">
        <v>4515</v>
      </c>
      <c r="M628" s="210"/>
      <c r="N628" s="203"/>
      <c r="O628" s="203"/>
      <c r="P628" s="191"/>
      <c r="Q628" s="192" t="s">
        <v>1209</v>
      </c>
      <c r="R628" s="192" t="s">
        <v>881</v>
      </c>
      <c r="S628" s="206" t="s">
        <v>1385</v>
      </c>
      <c r="T628" s="199"/>
      <c r="U628" s="201"/>
      <c r="V628" s="201"/>
      <c r="W628" s="201"/>
      <c r="X628" s="201"/>
      <c r="Y628" s="201"/>
      <c r="Z628" s="202" t="str">
        <f t="shared" si="0"/>
        <v>RLOM CableSegments</v>
      </c>
      <c r="AA628" s="174"/>
      <c r="AB628" s="147"/>
      <c r="AC628" s="147"/>
      <c r="AD628" s="147"/>
      <c r="AE628" s="147"/>
      <c r="AF628" s="147"/>
      <c r="AG628" s="147"/>
      <c r="AH628" s="147"/>
      <c r="AI628" s="147"/>
      <c r="AJ628" s="147"/>
      <c r="AK628" s="147"/>
      <c r="AL628" s="147"/>
      <c r="AM628" s="147"/>
      <c r="AN628" s="147"/>
    </row>
    <row r="629" spans="1:40" ht="27" customHeight="1">
      <c r="A629" s="239">
        <v>4</v>
      </c>
      <c r="B629" s="239" t="s">
        <v>363</v>
      </c>
      <c r="C629" s="239">
        <v>43</v>
      </c>
      <c r="D629" s="193" t="s">
        <v>434</v>
      </c>
      <c r="E629" s="193">
        <v>435</v>
      </c>
      <c r="F629" s="193" t="s">
        <v>1620</v>
      </c>
      <c r="G629" s="193" t="s">
        <v>1621</v>
      </c>
      <c r="H629" s="212" t="str">
        <f>HYPERLINK("http://bsdd.buildingsmart.org/#concept/details/0QXNqIaY58ARlIeBKvxECI","0QXNqIaY58ARlIeBKvxECI")</f>
        <v>0QXNqIaY58ARlIeBKvxECI</v>
      </c>
      <c r="I629" s="123" t="s">
        <v>5162</v>
      </c>
      <c r="J629" s="195" t="s">
        <v>4516</v>
      </c>
      <c r="K629" s="191" t="s">
        <v>1632</v>
      </c>
      <c r="L629" s="248" t="s">
        <v>4517</v>
      </c>
      <c r="M629" s="210"/>
      <c r="N629" s="203"/>
      <c r="O629" s="203"/>
      <c r="P629" s="191"/>
      <c r="Q629" s="192" t="s">
        <v>1395</v>
      </c>
      <c r="R629" s="192" t="s">
        <v>1396</v>
      </c>
      <c r="S629" s="206" t="s">
        <v>1463</v>
      </c>
      <c r="T629" s="199"/>
      <c r="U629" s="201"/>
      <c r="V629" s="201"/>
      <c r="W629" s="201"/>
      <c r="X629" s="201"/>
      <c r="Y629" s="201"/>
      <c r="Z629" s="202" t="str">
        <f t="shared" si="0"/>
        <v>RLOM ElectricDistributionBoards</v>
      </c>
      <c r="AA629" s="174"/>
      <c r="AB629" s="147"/>
      <c r="AC629" s="147"/>
      <c r="AD629" s="147"/>
      <c r="AE629" s="147"/>
      <c r="AF629" s="147"/>
      <c r="AG629" s="147"/>
      <c r="AH629" s="147"/>
      <c r="AI629" s="147"/>
      <c r="AJ629" s="147"/>
      <c r="AK629" s="147"/>
      <c r="AL629" s="147"/>
      <c r="AM629" s="147"/>
      <c r="AN629" s="147"/>
    </row>
    <row r="630" spans="1:40" ht="33" customHeight="1">
      <c r="A630" s="239">
        <v>4</v>
      </c>
      <c r="B630" s="239" t="s">
        <v>363</v>
      </c>
      <c r="C630" s="239">
        <v>43</v>
      </c>
      <c r="D630" s="193" t="s">
        <v>434</v>
      </c>
      <c r="E630" s="193">
        <v>435</v>
      </c>
      <c r="F630" s="193" t="s">
        <v>1620</v>
      </c>
      <c r="G630" s="193" t="s">
        <v>1621</v>
      </c>
      <c r="H630" s="212" t="str">
        <f>HYPERLINK("http://bsdd.buildingsmart.org/#concept/details/3tOAgxzOHDY8XFLb9lDnPE","3tOAgxzOHDY8XFLb9lDnPE")</f>
        <v>3tOAgxzOHDY8XFLb9lDnPE</v>
      </c>
      <c r="I630" s="123" t="s">
        <v>5163</v>
      </c>
      <c r="J630" s="195" t="s">
        <v>4518</v>
      </c>
      <c r="K630" s="191"/>
      <c r="L630" s="248" t="s">
        <v>4519</v>
      </c>
      <c r="M630" s="210"/>
      <c r="N630" s="203" t="s">
        <v>1344</v>
      </c>
      <c r="O630" s="203" t="s">
        <v>1346</v>
      </c>
      <c r="P630" s="191" t="s">
        <v>1341</v>
      </c>
      <c r="Q630" s="192" t="s">
        <v>1347</v>
      </c>
      <c r="R630" s="192" t="s">
        <v>1348</v>
      </c>
      <c r="S630" s="206" t="s">
        <v>1349</v>
      </c>
      <c r="T630" s="199"/>
      <c r="U630" s="201"/>
      <c r="V630" s="201"/>
      <c r="W630" s="201"/>
      <c r="X630" s="201"/>
      <c r="Y630" s="201"/>
      <c r="Z630" s="202" t="str">
        <f t="shared" si="0"/>
        <v>RLOM Outlets</v>
      </c>
      <c r="AA630" s="174"/>
      <c r="AB630" s="147"/>
      <c r="AC630" s="147"/>
      <c r="AD630" s="147"/>
      <c r="AE630" s="147"/>
      <c r="AF630" s="147"/>
      <c r="AG630" s="147"/>
      <c r="AH630" s="147"/>
      <c r="AI630" s="147"/>
      <c r="AJ630" s="147"/>
      <c r="AK630" s="147"/>
      <c r="AL630" s="147"/>
      <c r="AM630" s="147"/>
      <c r="AN630" s="147"/>
    </row>
    <row r="631" spans="1:40" ht="27" customHeight="1">
      <c r="A631" s="239">
        <v>4</v>
      </c>
      <c r="B631" s="239" t="s">
        <v>363</v>
      </c>
      <c r="C631" s="239">
        <v>43</v>
      </c>
      <c r="D631" s="193" t="s">
        <v>434</v>
      </c>
      <c r="E631" s="193">
        <v>435</v>
      </c>
      <c r="F631" s="193" t="s">
        <v>1620</v>
      </c>
      <c r="G631" s="193" t="s">
        <v>1621</v>
      </c>
      <c r="H631" s="212" t="str">
        <f>HYPERLINK("http://bsdd.buildingsmart.org/#concept/details/1s0Oz2a_D2EhBLB4gETloH","1s0Oz2a_D2EhBLB4gETloH")</f>
        <v>1s0Oz2a_D2EhBLB4gETloH</v>
      </c>
      <c r="I631" s="123" t="s">
        <v>5164</v>
      </c>
      <c r="J631" s="195" t="s">
        <v>4520</v>
      </c>
      <c r="K631" s="191" t="s">
        <v>1651</v>
      </c>
      <c r="L631" s="248" t="s">
        <v>4499</v>
      </c>
      <c r="M631" s="210"/>
      <c r="N631" s="203" t="s">
        <v>1460</v>
      </c>
      <c r="O631" s="203" t="s">
        <v>1461</v>
      </c>
      <c r="P631" s="191" t="s">
        <v>1462</v>
      </c>
      <c r="Q631" s="192" t="s">
        <v>1395</v>
      </c>
      <c r="R631" s="192" t="s">
        <v>1396</v>
      </c>
      <c r="S631" s="206" t="s">
        <v>1463</v>
      </c>
      <c r="T631" s="199"/>
      <c r="U631" s="201"/>
      <c r="V631" s="201"/>
      <c r="W631" s="201"/>
      <c r="X631" s="201"/>
      <c r="Y631" s="201"/>
      <c r="Z631" s="202" t="str">
        <f t="shared" si="0"/>
        <v>RLOM ElectricDistributionBoards</v>
      </c>
      <c r="AA631" s="174"/>
      <c r="AB631" s="147"/>
      <c r="AC631" s="147"/>
      <c r="AD631" s="147"/>
      <c r="AE631" s="147"/>
      <c r="AF631" s="147"/>
      <c r="AG631" s="147"/>
      <c r="AH631" s="147"/>
      <c r="AI631" s="147"/>
      <c r="AJ631" s="147"/>
      <c r="AK631" s="147"/>
      <c r="AL631" s="147"/>
      <c r="AM631" s="147"/>
      <c r="AN631" s="147"/>
    </row>
    <row r="632" spans="1:40" ht="18" customHeight="1">
      <c r="A632" s="239">
        <v>4</v>
      </c>
      <c r="B632" s="239" t="s">
        <v>363</v>
      </c>
      <c r="C632" s="239">
        <v>45</v>
      </c>
      <c r="D632" s="193" t="s">
        <v>1668</v>
      </c>
      <c r="E632" s="193">
        <v>450</v>
      </c>
      <c r="F632" s="193" t="s">
        <v>1668</v>
      </c>
      <c r="G632" s="193"/>
      <c r="H632" s="212" t="str">
        <f>HYPERLINK("http://bsdd.buildingsmart.org/#concept/details/3MCWw0I6yHuO00025QrE$V","3MCWw0I6yHuO00025QrE$V")</f>
        <v>3MCWw0I6yHuO00025QrE$V</v>
      </c>
      <c r="I632" s="123" t="s">
        <v>1702</v>
      </c>
      <c r="J632" s="195" t="s">
        <v>4521</v>
      </c>
      <c r="K632" s="191" t="s">
        <v>1703</v>
      </c>
      <c r="L632" s="248" t="s">
        <v>4522</v>
      </c>
      <c r="M632" s="210"/>
      <c r="N632" s="203" t="s">
        <v>640</v>
      </c>
      <c r="O632" s="203" t="s">
        <v>642</v>
      </c>
      <c r="P632" s="191" t="s">
        <v>644</v>
      </c>
      <c r="Q632" s="192" t="s">
        <v>1240</v>
      </c>
      <c r="R632" s="192" t="s">
        <v>1241</v>
      </c>
      <c r="S632" s="206" t="s">
        <v>1709</v>
      </c>
      <c r="T632" s="199"/>
      <c r="U632" s="238"/>
      <c r="V632" s="201"/>
      <c r="W632" s="201"/>
      <c r="X632" s="201"/>
      <c r="Y632" s="201"/>
      <c r="Z632" s="202" t="str">
        <f t="shared" si="0"/>
        <v>RLOM UnitaryControlElements</v>
      </c>
      <c r="AA632" s="174"/>
      <c r="AB632" s="147"/>
      <c r="AC632" s="147"/>
      <c r="AD632" s="147"/>
      <c r="AE632" s="147"/>
      <c r="AF632" s="147"/>
      <c r="AG632" s="147"/>
      <c r="AH632" s="147"/>
      <c r="AI632" s="147"/>
      <c r="AJ632" s="147"/>
      <c r="AK632" s="147"/>
      <c r="AL632" s="147"/>
      <c r="AM632" s="147"/>
      <c r="AN632" s="147"/>
    </row>
    <row r="633" spans="1:40" ht="18" customHeight="1">
      <c r="A633" s="239">
        <v>4</v>
      </c>
      <c r="B633" s="239" t="s">
        <v>363</v>
      </c>
      <c r="C633" s="239">
        <v>45</v>
      </c>
      <c r="D633" s="193" t="s">
        <v>1668</v>
      </c>
      <c r="E633" s="193">
        <v>452</v>
      </c>
      <c r="F633" s="193" t="s">
        <v>1714</v>
      </c>
      <c r="G633" s="193" t="s">
        <v>1715</v>
      </c>
      <c r="H633" s="212" t="str">
        <f>HYPERLINK("http://bsdd.buildingsmart.org/#concept/details/2vxZIxMAr5fOgevz29VYXQ","2vxZIxMAr5fOgevz29VYXQ")</f>
        <v>2vxZIxMAr5fOgevz29VYXQ</v>
      </c>
      <c r="I633" s="123" t="s">
        <v>1717</v>
      </c>
      <c r="J633" s="195" t="s">
        <v>4523</v>
      </c>
      <c r="K633" s="191" t="s">
        <v>1718</v>
      </c>
      <c r="L633" s="248" t="s">
        <v>4524</v>
      </c>
      <c r="M633" s="210"/>
      <c r="N633" s="203" t="s">
        <v>1719</v>
      </c>
      <c r="O633" s="203" t="s">
        <v>1720</v>
      </c>
      <c r="P633" s="191" t="s">
        <v>1722</v>
      </c>
      <c r="Q633" s="192" t="s">
        <v>1723</v>
      </c>
      <c r="R633" s="192" t="s">
        <v>1724</v>
      </c>
      <c r="S633" s="206" t="s">
        <v>1725</v>
      </c>
      <c r="T633" s="199"/>
      <c r="U633" s="238"/>
      <c r="V633" s="201"/>
      <c r="W633" s="201"/>
      <c r="X633" s="201"/>
      <c r="Y633" s="201"/>
      <c r="Z633" s="202" t="str">
        <f t="shared" si="0"/>
        <v>RLOM SpaceHeaters</v>
      </c>
      <c r="AA633" s="174"/>
      <c r="AB633" s="147"/>
      <c r="AC633" s="147"/>
      <c r="AD633" s="147"/>
      <c r="AE633" s="147"/>
      <c r="AF633" s="147"/>
      <c r="AG633" s="147"/>
      <c r="AH633" s="147"/>
      <c r="AI633" s="147"/>
      <c r="AJ633" s="147"/>
      <c r="AK633" s="147"/>
      <c r="AL633" s="147"/>
      <c r="AM633" s="147"/>
      <c r="AN633" s="147"/>
    </row>
    <row r="634" spans="1:40" ht="21.75" customHeight="1">
      <c r="A634" s="239">
        <v>4</v>
      </c>
      <c r="B634" s="239" t="s">
        <v>363</v>
      </c>
      <c r="C634" s="239">
        <v>45</v>
      </c>
      <c r="D634" s="193" t="s">
        <v>1668</v>
      </c>
      <c r="E634" s="193">
        <v>452</v>
      </c>
      <c r="F634" s="193" t="s">
        <v>1714</v>
      </c>
      <c r="G634" s="193" t="s">
        <v>1715</v>
      </c>
      <c r="H634" s="212" t="str">
        <f>HYPERLINK("http://bsdd.buildingsmart.org/#concept/details/1Vs$vIR1nDz9F2BDeT83yI","1Vs$vIR1nDz9F2BDeT83yI")</f>
        <v>1Vs$vIR1nDz9F2BDeT83yI</v>
      </c>
      <c r="I634" s="123" t="s">
        <v>1732</v>
      </c>
      <c r="J634" s="195" t="s">
        <v>4525</v>
      </c>
      <c r="K634" s="191" t="s">
        <v>1733</v>
      </c>
      <c r="L634" s="248" t="s">
        <v>4526</v>
      </c>
      <c r="M634" s="210"/>
      <c r="N634" s="203" t="s">
        <v>1719</v>
      </c>
      <c r="O634" s="203" t="s">
        <v>1720</v>
      </c>
      <c r="P634" s="191" t="s">
        <v>1722</v>
      </c>
      <c r="Q634" s="192" t="s">
        <v>1723</v>
      </c>
      <c r="R634" s="192" t="s">
        <v>1724</v>
      </c>
      <c r="S634" s="206" t="s">
        <v>1725</v>
      </c>
      <c r="T634" s="199"/>
      <c r="U634" s="238"/>
      <c r="V634" s="201"/>
      <c r="W634" s="201"/>
      <c r="X634" s="201"/>
      <c r="Y634" s="201"/>
      <c r="Z634" s="202" t="str">
        <f t="shared" si="0"/>
        <v>RLOM SpaceHeaters</v>
      </c>
      <c r="AA634" s="174"/>
      <c r="AB634" s="147"/>
      <c r="AC634" s="147"/>
      <c r="AD634" s="147"/>
      <c r="AE634" s="147"/>
      <c r="AF634" s="147"/>
      <c r="AG634" s="147"/>
      <c r="AH634" s="147"/>
      <c r="AI634" s="147"/>
      <c r="AJ634" s="147"/>
      <c r="AK634" s="147"/>
      <c r="AL634" s="147"/>
      <c r="AM634" s="147"/>
      <c r="AN634" s="147"/>
    </row>
    <row r="635" spans="1:40" ht="18" customHeight="1">
      <c r="A635" s="239">
        <v>4</v>
      </c>
      <c r="B635" s="239" t="s">
        <v>363</v>
      </c>
      <c r="C635" s="239">
        <v>45</v>
      </c>
      <c r="D635" s="193" t="s">
        <v>1668</v>
      </c>
      <c r="E635" s="193">
        <v>452</v>
      </c>
      <c r="F635" s="193" t="s">
        <v>1714</v>
      </c>
      <c r="G635" s="193" t="s">
        <v>1715</v>
      </c>
      <c r="H635" s="212" t="str">
        <f>HYPERLINK("http://bsdd.buildingsmart.org/#concept/details/16GvaM0XT1sQEvokzWtktQ","16GvaM0XT1sQEvokzWtktQ")</f>
        <v>16GvaM0XT1sQEvokzWtktQ</v>
      </c>
      <c r="I635" s="123" t="s">
        <v>1734</v>
      </c>
      <c r="J635" s="195" t="s">
        <v>4527</v>
      </c>
      <c r="K635" s="191" t="s">
        <v>1736</v>
      </c>
      <c r="L635" s="248" t="s">
        <v>4528</v>
      </c>
      <c r="M635" s="210"/>
      <c r="N635" s="203" t="s">
        <v>1719</v>
      </c>
      <c r="O635" s="203" t="s">
        <v>1720</v>
      </c>
      <c r="P635" s="191" t="s">
        <v>1722</v>
      </c>
      <c r="Q635" s="192" t="s">
        <v>1723</v>
      </c>
      <c r="R635" s="192" t="s">
        <v>1724</v>
      </c>
      <c r="S635" s="206" t="s">
        <v>1725</v>
      </c>
      <c r="T635" s="199"/>
      <c r="U635" s="238"/>
      <c r="V635" s="201"/>
      <c r="W635" s="201"/>
      <c r="X635" s="201"/>
      <c r="Y635" s="201"/>
      <c r="Z635" s="202" t="str">
        <f t="shared" si="0"/>
        <v>RLOM SpaceHeaters</v>
      </c>
      <c r="AA635" s="174"/>
      <c r="AB635" s="147"/>
      <c r="AC635" s="147"/>
      <c r="AD635" s="147"/>
      <c r="AE635" s="147"/>
      <c r="AF635" s="147"/>
      <c r="AG635" s="147"/>
      <c r="AH635" s="147"/>
      <c r="AI635" s="147"/>
      <c r="AJ635" s="147"/>
      <c r="AK635" s="147"/>
      <c r="AL635" s="147"/>
      <c r="AM635" s="147"/>
      <c r="AN635" s="147"/>
    </row>
    <row r="636" spans="1:40" ht="18" customHeight="1">
      <c r="A636" s="239">
        <v>4</v>
      </c>
      <c r="B636" s="239" t="s">
        <v>363</v>
      </c>
      <c r="C636" s="239">
        <v>46</v>
      </c>
      <c r="D636" s="193" t="s">
        <v>1737</v>
      </c>
      <c r="E636" s="193">
        <v>461</v>
      </c>
      <c r="F636" s="193" t="s">
        <v>1738</v>
      </c>
      <c r="G636" s="193" t="s">
        <v>1739</v>
      </c>
      <c r="H636" s="212" t="str">
        <f>HYPERLINK("http://bsdd.buildingsmart.org/#concept/details/3JDnuAI6yHuO00025QrE$V","3JDnuAI6yHuO00025QrE$V")</f>
        <v>3JDnuAI6yHuO00025QrE$V</v>
      </c>
      <c r="I636" s="123" t="s">
        <v>1740</v>
      </c>
      <c r="J636" s="195" t="s">
        <v>4529</v>
      </c>
      <c r="K636" s="191"/>
      <c r="L636" s="248" t="s">
        <v>4530</v>
      </c>
      <c r="M636" s="210"/>
      <c r="N636" s="203" t="s">
        <v>1743</v>
      </c>
      <c r="O636" s="203" t="s">
        <v>1740</v>
      </c>
      <c r="P636" s="191" t="s">
        <v>1745</v>
      </c>
      <c r="Q636" s="192" t="s">
        <v>1746</v>
      </c>
      <c r="R636" s="192" t="s">
        <v>1747</v>
      </c>
      <c r="S636" s="206" t="s">
        <v>1750</v>
      </c>
      <c r="T636" s="199"/>
      <c r="U636" s="201"/>
      <c r="V636" s="201"/>
      <c r="W636" s="201"/>
      <c r="X636" s="201"/>
      <c r="Y636" s="201"/>
      <c r="Z636" s="202" t="str">
        <f t="shared" si="0"/>
        <v>RLOM ElectricGenerators</v>
      </c>
      <c r="AA636" s="174"/>
      <c r="AB636" s="147"/>
      <c r="AC636" s="147"/>
      <c r="AD636" s="147"/>
      <c r="AE636" s="147"/>
      <c r="AF636" s="147"/>
      <c r="AG636" s="147"/>
      <c r="AH636" s="147"/>
      <c r="AI636" s="147"/>
      <c r="AJ636" s="147"/>
      <c r="AK636" s="147"/>
      <c r="AL636" s="147"/>
      <c r="AM636" s="147"/>
      <c r="AN636" s="147"/>
    </row>
    <row r="637" spans="1:40" ht="27" customHeight="1">
      <c r="A637" s="239">
        <v>4</v>
      </c>
      <c r="B637" s="239" t="s">
        <v>363</v>
      </c>
      <c r="C637" s="239">
        <v>46</v>
      </c>
      <c r="D637" s="193" t="s">
        <v>1737</v>
      </c>
      <c r="E637" s="193">
        <v>461</v>
      </c>
      <c r="F637" s="193" t="s">
        <v>1738</v>
      </c>
      <c r="G637" s="193" t="s">
        <v>1739</v>
      </c>
      <c r="H637" s="212" t="str">
        <f>HYPERLINK("http://bsdd.buildingsmart.org/#concept/details/3vHV7UoT0Hsm00051Mm008","3vHV7UoT0Hsm00051Mm008")</f>
        <v>3vHV7UoT0Hsm00051Mm008</v>
      </c>
      <c r="I637" s="123" t="s">
        <v>1751</v>
      </c>
      <c r="J637" s="195" t="s">
        <v>4531</v>
      </c>
      <c r="K637" s="191"/>
      <c r="L637" s="248" t="s">
        <v>4532</v>
      </c>
      <c r="M637" s="210"/>
      <c r="N637" s="203" t="s">
        <v>1754</v>
      </c>
      <c r="O637" s="203" t="s">
        <v>1756</v>
      </c>
      <c r="P637" s="191" t="s">
        <v>1757</v>
      </c>
      <c r="Q637" s="192" t="s">
        <v>936</v>
      </c>
      <c r="R637" s="192" t="s">
        <v>937</v>
      </c>
      <c r="S637" s="206" t="s">
        <v>1758</v>
      </c>
      <c r="T637" s="199"/>
      <c r="U637" s="201"/>
      <c r="V637" s="201"/>
      <c r="W637" s="201"/>
      <c r="X637" s="201"/>
      <c r="Y637" s="201"/>
      <c r="Z637" s="202" t="str">
        <f t="shared" si="0"/>
        <v>RLOM Tanks</v>
      </c>
      <c r="AA637" s="174"/>
      <c r="AB637" s="147"/>
      <c r="AC637" s="147"/>
      <c r="AD637" s="147"/>
      <c r="AE637" s="147"/>
      <c r="AF637" s="147"/>
      <c r="AG637" s="147"/>
      <c r="AH637" s="147"/>
      <c r="AI637" s="147"/>
      <c r="AJ637" s="147"/>
      <c r="AK637" s="147"/>
      <c r="AL637" s="147"/>
      <c r="AM637" s="147"/>
      <c r="AN637" s="147"/>
    </row>
    <row r="638" spans="1:40" ht="27" customHeight="1">
      <c r="A638" s="239">
        <v>4</v>
      </c>
      <c r="B638" s="239" t="s">
        <v>363</v>
      </c>
      <c r="C638" s="239">
        <v>46</v>
      </c>
      <c r="D638" s="193" t="s">
        <v>1737</v>
      </c>
      <c r="E638" s="193">
        <v>461</v>
      </c>
      <c r="F638" s="193" t="s">
        <v>1738</v>
      </c>
      <c r="G638" s="193" t="s">
        <v>1739</v>
      </c>
      <c r="H638" s="212" t="str">
        <f>HYPERLINK("http://bsdd.buildingsmart.org/#concept/details/1q16MzsGzB3OJlha4aFK3K","1q16MzsGzB3OJlha4aFK3K")</f>
        <v>1q16MzsGzB3OJlha4aFK3K</v>
      </c>
      <c r="I638" s="123" t="s">
        <v>1763</v>
      </c>
      <c r="J638" s="195" t="s">
        <v>4533</v>
      </c>
      <c r="K638" s="191"/>
      <c r="L638" s="248" t="s">
        <v>4534</v>
      </c>
      <c r="M638" s="210"/>
      <c r="N638" s="203" t="s">
        <v>1754</v>
      </c>
      <c r="O638" s="203" t="s">
        <v>1756</v>
      </c>
      <c r="P638" s="191" t="s">
        <v>1757</v>
      </c>
      <c r="Q638" s="192" t="s">
        <v>936</v>
      </c>
      <c r="R638" s="192" t="s">
        <v>937</v>
      </c>
      <c r="S638" s="206" t="s">
        <v>1758</v>
      </c>
      <c r="T638" s="199"/>
      <c r="U638" s="201"/>
      <c r="V638" s="201"/>
      <c r="W638" s="201"/>
      <c r="X638" s="201"/>
      <c r="Y638" s="201"/>
      <c r="Z638" s="202" t="str">
        <f t="shared" si="0"/>
        <v>RLOM Tanks</v>
      </c>
      <c r="AA638" s="174"/>
      <c r="AB638" s="147"/>
      <c r="AC638" s="147"/>
      <c r="AD638" s="147"/>
      <c r="AE638" s="147"/>
      <c r="AF638" s="147"/>
      <c r="AG638" s="147"/>
      <c r="AH638" s="147"/>
      <c r="AI638" s="147"/>
      <c r="AJ638" s="147"/>
      <c r="AK638" s="147"/>
      <c r="AL638" s="147"/>
      <c r="AM638" s="147"/>
      <c r="AN638" s="147"/>
    </row>
    <row r="639" spans="1:40" ht="21.75" customHeight="1">
      <c r="A639" s="239">
        <v>4</v>
      </c>
      <c r="B639" s="239" t="s">
        <v>363</v>
      </c>
      <c r="C639" s="239">
        <v>46</v>
      </c>
      <c r="D639" s="193" t="s">
        <v>1737</v>
      </c>
      <c r="E639" s="193">
        <v>461</v>
      </c>
      <c r="F639" s="193" t="s">
        <v>1738</v>
      </c>
      <c r="G639" s="193" t="s">
        <v>1739</v>
      </c>
      <c r="H639" s="212" t="str">
        <f>HYPERLINK("http://bsdd.buildingsmart.org/#concept/details/37yKYZTJn39gmnfvw_ImRg","37yKYZTJn39gmnfvw_ImRg")</f>
        <v>37yKYZTJn39gmnfvw_ImRg</v>
      </c>
      <c r="I639" s="123" t="s">
        <v>1768</v>
      </c>
      <c r="J639" s="195" t="s">
        <v>4535</v>
      </c>
      <c r="K639" s="191"/>
      <c r="L639" s="248" t="s">
        <v>4536</v>
      </c>
      <c r="M639" s="210"/>
      <c r="N639" s="203" t="s">
        <v>1743</v>
      </c>
      <c r="O639" s="203" t="s">
        <v>1740</v>
      </c>
      <c r="P639" s="191" t="s">
        <v>1745</v>
      </c>
      <c r="Q639" s="192" t="s">
        <v>1746</v>
      </c>
      <c r="R639" s="192" t="s">
        <v>1747</v>
      </c>
      <c r="S639" s="206" t="s">
        <v>1750</v>
      </c>
      <c r="T639" s="199"/>
      <c r="U639" s="201"/>
      <c r="V639" s="201"/>
      <c r="W639" s="201"/>
      <c r="X639" s="201"/>
      <c r="Y639" s="201"/>
      <c r="Z639" s="202" t="str">
        <f t="shared" si="0"/>
        <v>RLOM ElectricGenerators</v>
      </c>
      <c r="AA639" s="174"/>
      <c r="AB639" s="147"/>
      <c r="AC639" s="147"/>
      <c r="AD639" s="147"/>
      <c r="AE639" s="147"/>
      <c r="AF639" s="147"/>
      <c r="AG639" s="147"/>
      <c r="AH639" s="147"/>
      <c r="AI639" s="147"/>
      <c r="AJ639" s="147"/>
      <c r="AK639" s="147"/>
      <c r="AL639" s="147"/>
      <c r="AM639" s="147"/>
      <c r="AN639" s="147"/>
    </row>
    <row r="640" spans="1:40" ht="27" customHeight="1">
      <c r="A640" s="239">
        <v>4</v>
      </c>
      <c r="B640" s="239" t="s">
        <v>363</v>
      </c>
      <c r="C640" s="239">
        <v>46</v>
      </c>
      <c r="D640" s="193" t="s">
        <v>1737</v>
      </c>
      <c r="E640" s="193">
        <v>462</v>
      </c>
      <c r="F640" s="193" t="s">
        <v>1782</v>
      </c>
      <c r="G640" s="193" t="s">
        <v>1783</v>
      </c>
      <c r="H640" s="212" t="str">
        <f>HYPERLINK("http://bsdd.buildingsmart.org/#concept/details/3CKGpJG$56dufV4d4t5clL","3CKGpJG$56dufV4d4t5clL")</f>
        <v>3CKGpJG$56dufV4d4t5clL</v>
      </c>
      <c r="I640" s="123" t="s">
        <v>1784</v>
      </c>
      <c r="J640" s="195" t="s">
        <v>4537</v>
      </c>
      <c r="K640" s="191"/>
      <c r="L640" s="248" t="s">
        <v>4538</v>
      </c>
      <c r="M640" s="210"/>
      <c r="N640" s="203" t="s">
        <v>1786</v>
      </c>
      <c r="O640" s="203" t="s">
        <v>1787</v>
      </c>
      <c r="P640" s="191" t="s">
        <v>1790</v>
      </c>
      <c r="Q640" s="192" t="s">
        <v>1792</v>
      </c>
      <c r="R640" s="192" t="s">
        <v>1794</v>
      </c>
      <c r="S640" s="206" t="s">
        <v>1784</v>
      </c>
      <c r="T640" s="199"/>
      <c r="U640" s="201"/>
      <c r="V640" s="201"/>
      <c r="W640" s="201"/>
      <c r="X640" s="201"/>
      <c r="Y640" s="201"/>
      <c r="Z640" s="202" t="str">
        <f t="shared" si="0"/>
        <v>RLOM ElectricFlowStorageDevices</v>
      </c>
      <c r="AA640" s="174"/>
      <c r="AB640" s="147"/>
      <c r="AC640" s="147"/>
      <c r="AD640" s="147"/>
      <c r="AE640" s="147"/>
      <c r="AF640" s="147"/>
      <c r="AG640" s="147"/>
      <c r="AH640" s="147"/>
      <c r="AI640" s="147"/>
      <c r="AJ640" s="147"/>
      <c r="AK640" s="147"/>
      <c r="AL640" s="147"/>
      <c r="AM640" s="147"/>
      <c r="AN640" s="147"/>
    </row>
    <row r="641" spans="1:40" ht="27" customHeight="1">
      <c r="A641" s="239">
        <v>4</v>
      </c>
      <c r="B641" s="239" t="s">
        <v>363</v>
      </c>
      <c r="C641" s="239">
        <v>46</v>
      </c>
      <c r="D641" s="193" t="s">
        <v>1737</v>
      </c>
      <c r="E641" s="193">
        <v>463</v>
      </c>
      <c r="F641" s="193" t="s">
        <v>1798</v>
      </c>
      <c r="G641" s="193" t="s">
        <v>1800</v>
      </c>
      <c r="H641" s="212" t="str">
        <f>HYPERLINK("http://bsdd.buildingsmart.org/#concept/details/17PDm08e8Hu000025QrE$V","17PDm08e8Hu000025QrE$V")</f>
        <v>17PDm08e8Hu000025QrE$V</v>
      </c>
      <c r="I641" s="123" t="s">
        <v>1802</v>
      </c>
      <c r="J641" s="195" t="s">
        <v>4539</v>
      </c>
      <c r="K641" s="191"/>
      <c r="L641" s="248" t="s">
        <v>4540</v>
      </c>
      <c r="M641" s="210"/>
      <c r="N641" s="203" t="s">
        <v>1786</v>
      </c>
      <c r="O641" s="203" t="s">
        <v>1787</v>
      </c>
      <c r="P641" s="191" t="s">
        <v>1790</v>
      </c>
      <c r="Q641" s="192" t="s">
        <v>1792</v>
      </c>
      <c r="R641" s="192" t="s">
        <v>1794</v>
      </c>
      <c r="S641" s="206" t="s">
        <v>1804</v>
      </c>
      <c r="T641" s="199"/>
      <c r="U641" s="201"/>
      <c r="V641" s="201"/>
      <c r="W641" s="201"/>
      <c r="X641" s="201"/>
      <c r="Y641" s="201"/>
      <c r="Z641" s="202" t="str">
        <f t="shared" si="0"/>
        <v>RLOM ElectricFlowStorageDevices</v>
      </c>
      <c r="AA641" s="174"/>
      <c r="AB641" s="147"/>
      <c r="AC641" s="147"/>
      <c r="AD641" s="147"/>
      <c r="AE641" s="147"/>
      <c r="AF641" s="147"/>
      <c r="AG641" s="147"/>
      <c r="AH641" s="147"/>
      <c r="AI641" s="147"/>
      <c r="AJ641" s="147"/>
      <c r="AK641" s="147"/>
      <c r="AL641" s="147"/>
      <c r="AM641" s="147"/>
      <c r="AN641" s="147"/>
    </row>
    <row r="642" spans="1:40" ht="36" customHeight="1">
      <c r="A642" s="239">
        <v>5</v>
      </c>
      <c r="B642" s="239" t="s">
        <v>1676</v>
      </c>
      <c r="C642" s="239">
        <v>51</v>
      </c>
      <c r="D642" s="193" t="s">
        <v>1805</v>
      </c>
      <c r="E642" s="193">
        <v>511</v>
      </c>
      <c r="F642" s="193" t="s">
        <v>675</v>
      </c>
      <c r="G642" s="193" t="s">
        <v>1816</v>
      </c>
      <c r="H642" s="212" t="str">
        <f>HYPERLINK("http://bsdd.buildingsmart.org/#concept/details/1AYwu0WJOHu000025QrE$V","1AYwu0WJOHu000025QrE$V")</f>
        <v>1AYwu0WJOHu000025QrE$V</v>
      </c>
      <c r="I642" s="123" t="s">
        <v>1088</v>
      </c>
      <c r="J642" s="195" t="s">
        <v>4408</v>
      </c>
      <c r="K642" s="191"/>
      <c r="L642" s="248" t="s">
        <v>4409</v>
      </c>
      <c r="M642" s="210"/>
      <c r="N642" s="203" t="s">
        <v>893</v>
      </c>
      <c r="O642" s="203" t="s">
        <v>895</v>
      </c>
      <c r="P642" s="191" t="s">
        <v>896</v>
      </c>
      <c r="Q642" s="192" t="s">
        <v>759</v>
      </c>
      <c r="R642" s="192" t="s">
        <v>761</v>
      </c>
      <c r="S642" s="206" t="s">
        <v>1099</v>
      </c>
      <c r="T642" s="199"/>
      <c r="U642" s="240"/>
      <c r="V642" s="201"/>
      <c r="W642" s="201"/>
      <c r="X642" s="201"/>
      <c r="Y642" s="201"/>
      <c r="Z642" s="202" t="str">
        <f t="shared" si="0"/>
        <v>RLOM CableCarrierSegments</v>
      </c>
      <c r="AA642" s="174"/>
      <c r="AB642" s="147"/>
      <c r="AC642" s="147"/>
      <c r="AD642" s="147"/>
      <c r="AE642" s="147"/>
      <c r="AF642" s="147"/>
      <c r="AG642" s="147"/>
      <c r="AH642" s="147"/>
      <c r="AI642" s="147"/>
      <c r="AJ642" s="147"/>
      <c r="AK642" s="147"/>
      <c r="AL642" s="147"/>
      <c r="AM642" s="147"/>
      <c r="AN642" s="147"/>
    </row>
    <row r="643" spans="1:40" ht="27" customHeight="1">
      <c r="A643" s="239">
        <v>5</v>
      </c>
      <c r="B643" s="239" t="s">
        <v>1676</v>
      </c>
      <c r="C643" s="239">
        <v>52</v>
      </c>
      <c r="D643" s="193" t="s">
        <v>1824</v>
      </c>
      <c r="E643" s="193">
        <v>521</v>
      </c>
      <c r="F643" s="193" t="s">
        <v>1833</v>
      </c>
      <c r="G643" s="193" t="s">
        <v>1834</v>
      </c>
      <c r="H643" s="212" t="str">
        <f>HYPERLINK("http://bsdd.buildingsmart.org/#concept/details/3vHbREoT0Hsm00051Mm008","3vHbREoT0Hsm00051Mm008")</f>
        <v>3vHbREoT0Hsm00051Mm008</v>
      </c>
      <c r="I643" s="123" t="s">
        <v>1836</v>
      </c>
      <c r="J643" s="195" t="s">
        <v>4541</v>
      </c>
      <c r="K643" s="191" t="s">
        <v>1838</v>
      </c>
      <c r="L643" s="248" t="s">
        <v>4541</v>
      </c>
      <c r="M643" s="210"/>
      <c r="N643" s="203" t="s">
        <v>786</v>
      </c>
      <c r="O643" s="203" t="s">
        <v>1843</v>
      </c>
      <c r="P643" s="191" t="s">
        <v>1844</v>
      </c>
      <c r="Q643" s="192" t="s">
        <v>1140</v>
      </c>
      <c r="R643" s="192" t="s">
        <v>1141</v>
      </c>
      <c r="S643" s="206" t="s">
        <v>1846</v>
      </c>
      <c r="T643" s="199"/>
      <c r="U643" s="238"/>
      <c r="V643" s="201"/>
      <c r="W643" s="201"/>
      <c r="X643" s="201"/>
      <c r="Y643" s="201"/>
      <c r="Z643" s="202" t="str">
        <f t="shared" si="0"/>
        <v>RLOM CommunicationsAppliances</v>
      </c>
      <c r="AA643" s="174"/>
      <c r="AB643" s="147"/>
      <c r="AC643" s="147"/>
      <c r="AD643" s="147"/>
      <c r="AE643" s="147"/>
      <c r="AF643" s="147"/>
      <c r="AG643" s="147"/>
      <c r="AH643" s="147"/>
      <c r="AI643" s="147"/>
      <c r="AJ643" s="147"/>
      <c r="AK643" s="147"/>
      <c r="AL643" s="147"/>
      <c r="AM643" s="147"/>
      <c r="AN643" s="147"/>
    </row>
    <row r="644" spans="1:40" ht="27" customHeight="1">
      <c r="A644" s="239">
        <v>5</v>
      </c>
      <c r="B644" s="239" t="s">
        <v>1676</v>
      </c>
      <c r="C644" s="239">
        <v>52</v>
      </c>
      <c r="D644" s="193" t="s">
        <v>1824</v>
      </c>
      <c r="E644" s="193">
        <v>521</v>
      </c>
      <c r="F644" s="193" t="s">
        <v>1833</v>
      </c>
      <c r="G644" s="193" t="s">
        <v>1834</v>
      </c>
      <c r="H644" s="212" t="str">
        <f>HYPERLINK("http://bsdd.buildingsmart.org/#concept/details/0mzV9U0J10ffIlOr_NhTQz","0mzV9U0J10ffIlOr_NhTQz")</f>
        <v>0mzV9U0J10ffIlOr_NhTQz</v>
      </c>
      <c r="I644" s="123" t="s">
        <v>1850</v>
      </c>
      <c r="J644" s="195" t="s">
        <v>4542</v>
      </c>
      <c r="K644" s="191"/>
      <c r="L644" s="248" t="s">
        <v>4542</v>
      </c>
      <c r="M644" s="210"/>
      <c r="N644" s="203" t="s">
        <v>1851</v>
      </c>
      <c r="O644" s="203" t="s">
        <v>1852</v>
      </c>
      <c r="P644" s="191" t="s">
        <v>1853</v>
      </c>
      <c r="Q644" s="192" t="s">
        <v>1854</v>
      </c>
      <c r="R644" s="192" t="s">
        <v>1855</v>
      </c>
      <c r="S644" s="206" t="s">
        <v>1856</v>
      </c>
      <c r="T644" s="199"/>
      <c r="U644" s="238"/>
      <c r="V644" s="201"/>
      <c r="W644" s="201"/>
      <c r="X644" s="201"/>
      <c r="Y644" s="201"/>
      <c r="Z644" s="202" t="str">
        <f t="shared" si="0"/>
        <v>RLOM AudioVisualAppliances</v>
      </c>
      <c r="AA644" s="174"/>
      <c r="AB644" s="147"/>
      <c r="AC644" s="147"/>
      <c r="AD644" s="147"/>
      <c r="AE644" s="147"/>
      <c r="AF644" s="147"/>
      <c r="AG644" s="147"/>
      <c r="AH644" s="147"/>
      <c r="AI644" s="147"/>
      <c r="AJ644" s="147"/>
      <c r="AK644" s="147"/>
      <c r="AL644" s="147"/>
      <c r="AM644" s="147"/>
      <c r="AN644" s="147"/>
    </row>
    <row r="645" spans="1:40" ht="27" customHeight="1">
      <c r="A645" s="239">
        <v>5</v>
      </c>
      <c r="B645" s="239" t="s">
        <v>1676</v>
      </c>
      <c r="C645" s="239">
        <v>52</v>
      </c>
      <c r="D645" s="193" t="s">
        <v>1824</v>
      </c>
      <c r="E645" s="193">
        <v>521</v>
      </c>
      <c r="F645" s="193" t="s">
        <v>1833</v>
      </c>
      <c r="G645" s="193" t="s">
        <v>1834</v>
      </c>
      <c r="H645" s="212" t="str">
        <f>HYPERLINK("http://bsdd.buildingsmart.org/#concept/details/3y5ByEf6zEpBK1kvSFkqRv","3y5ByEf6zEpBK1kvSFkqRv")</f>
        <v>3y5ByEf6zEpBK1kvSFkqRv</v>
      </c>
      <c r="I645" s="123" t="s">
        <v>5165</v>
      </c>
      <c r="J645" s="195" t="s">
        <v>1860</v>
      </c>
      <c r="K645" s="191"/>
      <c r="L645" s="248" t="s">
        <v>1862</v>
      </c>
      <c r="M645" s="210"/>
      <c r="N645" s="203" t="s">
        <v>1851</v>
      </c>
      <c r="O645" s="203" t="s">
        <v>1852</v>
      </c>
      <c r="P645" s="191" t="s">
        <v>1853</v>
      </c>
      <c r="Q645" s="192" t="s">
        <v>1854</v>
      </c>
      <c r="R645" s="192" t="s">
        <v>1855</v>
      </c>
      <c r="S645" s="206" t="s">
        <v>1856</v>
      </c>
      <c r="T645" s="199"/>
      <c r="U645" s="238"/>
      <c r="V645" s="201"/>
      <c r="W645" s="201"/>
      <c r="X645" s="201"/>
      <c r="Y645" s="201"/>
      <c r="Z645" s="202" t="str">
        <f t="shared" si="0"/>
        <v>RLOM AudioVisualAppliances</v>
      </c>
      <c r="AA645" s="174"/>
      <c r="AB645" s="147"/>
      <c r="AC645" s="147"/>
      <c r="AD645" s="147"/>
      <c r="AE645" s="147"/>
      <c r="AF645" s="147"/>
      <c r="AG645" s="147"/>
      <c r="AH645" s="147"/>
      <c r="AI645" s="147"/>
      <c r="AJ645" s="147"/>
      <c r="AK645" s="147"/>
      <c r="AL645" s="147"/>
      <c r="AM645" s="147"/>
      <c r="AN645" s="147"/>
    </row>
    <row r="646" spans="1:40" ht="27" customHeight="1">
      <c r="A646" s="239">
        <v>5</v>
      </c>
      <c r="B646" s="239" t="s">
        <v>1676</v>
      </c>
      <c r="C646" s="239">
        <v>52</v>
      </c>
      <c r="D646" s="193" t="s">
        <v>1824</v>
      </c>
      <c r="E646" s="193">
        <v>521</v>
      </c>
      <c r="F646" s="193" t="s">
        <v>1833</v>
      </c>
      <c r="G646" s="193" t="s">
        <v>1834</v>
      </c>
      <c r="H646" s="212" t="str">
        <f>HYPERLINK("http://bsdd.buildingsmart.org/#concept/details/3EDWVA$frBnOeTUmNL7p2Z","3EDWVA$frBnOeTUmNL7p2Z")</f>
        <v>3EDWVA$frBnOeTUmNL7p2Z</v>
      </c>
      <c r="I646" s="123" t="s">
        <v>1869</v>
      </c>
      <c r="J646" s="195" t="s">
        <v>4543</v>
      </c>
      <c r="K646" s="191"/>
      <c r="L646" s="248" t="s">
        <v>4543</v>
      </c>
      <c r="M646" s="210"/>
      <c r="N646" s="203" t="s">
        <v>1851</v>
      </c>
      <c r="O646" s="203" t="s">
        <v>1852</v>
      </c>
      <c r="P646" s="191" t="s">
        <v>1853</v>
      </c>
      <c r="Q646" s="192" t="s">
        <v>1854</v>
      </c>
      <c r="R646" s="192" t="s">
        <v>1855</v>
      </c>
      <c r="S646" s="206" t="s">
        <v>1856</v>
      </c>
      <c r="T646" s="199"/>
      <c r="U646" s="238"/>
      <c r="V646" s="201"/>
      <c r="W646" s="201"/>
      <c r="X646" s="201"/>
      <c r="Y646" s="201"/>
      <c r="Z646" s="202" t="str">
        <f t="shared" si="0"/>
        <v>RLOM AudioVisualAppliances</v>
      </c>
      <c r="AA646" s="174"/>
      <c r="AB646" s="147"/>
      <c r="AC646" s="147"/>
      <c r="AD646" s="147"/>
      <c r="AE646" s="147"/>
      <c r="AF646" s="147"/>
      <c r="AG646" s="147"/>
      <c r="AH646" s="147"/>
      <c r="AI646" s="147"/>
      <c r="AJ646" s="147"/>
      <c r="AK646" s="147"/>
      <c r="AL646" s="147"/>
      <c r="AM646" s="147"/>
      <c r="AN646" s="147"/>
    </row>
    <row r="647" spans="1:40" ht="27" customHeight="1">
      <c r="A647" s="239">
        <v>5</v>
      </c>
      <c r="B647" s="239" t="s">
        <v>1676</v>
      </c>
      <c r="C647" s="239">
        <v>52</v>
      </c>
      <c r="D647" s="193" t="s">
        <v>1824</v>
      </c>
      <c r="E647" s="193">
        <v>521</v>
      </c>
      <c r="F647" s="193" t="s">
        <v>1833</v>
      </c>
      <c r="G647" s="193" t="s">
        <v>1834</v>
      </c>
      <c r="H647" s="212" t="str">
        <f>HYPERLINK("http://bsdd.buildingsmart.org/#concept/details/2M_f5kYvn6ng86eZ1EJzKW","2M_f5kYvn6ng86eZ1EJzKW")</f>
        <v>2M_f5kYvn6ng86eZ1EJzKW</v>
      </c>
      <c r="I647" s="123" t="s">
        <v>1881</v>
      </c>
      <c r="J647" s="195" t="s">
        <v>4544</v>
      </c>
      <c r="K647" s="191"/>
      <c r="L647" s="248" t="s">
        <v>4545</v>
      </c>
      <c r="M647" s="210"/>
      <c r="N647" s="203" t="s">
        <v>1883</v>
      </c>
      <c r="O647" s="203" t="s">
        <v>1884</v>
      </c>
      <c r="P647" s="191" t="s">
        <v>1885</v>
      </c>
      <c r="Q647" s="192" t="s">
        <v>1347</v>
      </c>
      <c r="R647" s="192" t="s">
        <v>1348</v>
      </c>
      <c r="S647" s="206" t="s">
        <v>1887</v>
      </c>
      <c r="T647" s="199"/>
      <c r="U647" s="238"/>
      <c r="V647" s="201"/>
      <c r="W647" s="201"/>
      <c r="X647" s="201"/>
      <c r="Y647" s="201"/>
      <c r="Z647" s="202" t="str">
        <f t="shared" si="0"/>
        <v>RLOM Outlets</v>
      </c>
      <c r="AA647" s="174"/>
      <c r="AB647" s="147"/>
      <c r="AC647" s="147"/>
      <c r="AD647" s="147"/>
      <c r="AE647" s="147"/>
      <c r="AF647" s="147"/>
      <c r="AG647" s="147"/>
      <c r="AH647" s="147"/>
      <c r="AI647" s="147"/>
      <c r="AJ647" s="147"/>
      <c r="AK647" s="147"/>
      <c r="AL647" s="147"/>
      <c r="AM647" s="147"/>
      <c r="AN647" s="147"/>
    </row>
    <row r="648" spans="1:40" ht="27" customHeight="1">
      <c r="A648" s="239">
        <v>5</v>
      </c>
      <c r="B648" s="239" t="s">
        <v>1676</v>
      </c>
      <c r="C648" s="239">
        <v>52</v>
      </c>
      <c r="D648" s="193" t="s">
        <v>1824</v>
      </c>
      <c r="E648" s="193">
        <v>521</v>
      </c>
      <c r="F648" s="193" t="s">
        <v>1833</v>
      </c>
      <c r="G648" s="193" t="s">
        <v>1834</v>
      </c>
      <c r="H648" s="212" t="str">
        <f>HYPERLINK("http://bsdd.buildingsmart.org/#concept/details/04$FFRDXL02vHCFQ30jj$S","04$FFRDXL02vHCFQ30jj$S")</f>
        <v>04$FFRDXL02vHCFQ30jj$S</v>
      </c>
      <c r="I648" s="123" t="s">
        <v>1888</v>
      </c>
      <c r="J648" s="195" t="s">
        <v>4546</v>
      </c>
      <c r="K648" s="191"/>
      <c r="L648" s="248" t="s">
        <v>4547</v>
      </c>
      <c r="M648" s="210"/>
      <c r="N648" s="203" t="s">
        <v>1890</v>
      </c>
      <c r="O648" s="203" t="s">
        <v>1891</v>
      </c>
      <c r="P648" s="191" t="s">
        <v>1888</v>
      </c>
      <c r="Q648" s="192" t="s">
        <v>1347</v>
      </c>
      <c r="R648" s="192" t="s">
        <v>1348</v>
      </c>
      <c r="S648" s="206" t="s">
        <v>1894</v>
      </c>
      <c r="T648" s="199"/>
      <c r="U648" s="238"/>
      <c r="V648" s="201"/>
      <c r="W648" s="201"/>
      <c r="X648" s="201"/>
      <c r="Y648" s="201"/>
      <c r="Z648" s="202" t="str">
        <f t="shared" si="0"/>
        <v>RLOM Outlets</v>
      </c>
      <c r="AA648" s="174"/>
      <c r="AB648" s="147"/>
      <c r="AC648" s="147"/>
      <c r="AD648" s="147"/>
      <c r="AE648" s="147"/>
      <c r="AF648" s="147"/>
      <c r="AG648" s="147"/>
      <c r="AH648" s="147"/>
      <c r="AI648" s="147"/>
      <c r="AJ648" s="147"/>
      <c r="AK648" s="147"/>
      <c r="AL648" s="147"/>
      <c r="AM648" s="147"/>
      <c r="AN648" s="147"/>
    </row>
    <row r="649" spans="1:40" ht="27" customHeight="1">
      <c r="A649" s="239">
        <v>5</v>
      </c>
      <c r="B649" s="239" t="s">
        <v>1676</v>
      </c>
      <c r="C649" s="239">
        <v>52</v>
      </c>
      <c r="D649" s="193" t="s">
        <v>1824</v>
      </c>
      <c r="E649" s="193">
        <v>521</v>
      </c>
      <c r="F649" s="193" t="s">
        <v>1833</v>
      </c>
      <c r="G649" s="193" t="s">
        <v>1834</v>
      </c>
      <c r="H649" s="212" t="str">
        <f>HYPERLINK("http://bsdd.buildingsmart.org/#concept/details/2rlQJP$F9Br9vXCtCOIN0b","2rlQJP$F9Br9vXCtCOIN0b")</f>
        <v>2rlQJP$F9Br9vXCtCOIN0b</v>
      </c>
      <c r="I649" s="123" t="s">
        <v>1899</v>
      </c>
      <c r="J649" s="195" t="s">
        <v>4548</v>
      </c>
      <c r="K649" s="191" t="s">
        <v>1901</v>
      </c>
      <c r="L649" s="248" t="s">
        <v>4549</v>
      </c>
      <c r="M649" s="210"/>
      <c r="N649" s="203" t="s">
        <v>1904</v>
      </c>
      <c r="O649" s="203" t="s">
        <v>1899</v>
      </c>
      <c r="P649" s="191" t="s">
        <v>1908</v>
      </c>
      <c r="Q649" s="192" t="s">
        <v>1347</v>
      </c>
      <c r="R649" s="192"/>
      <c r="S649" s="206"/>
      <c r="T649" s="199"/>
      <c r="U649" s="238"/>
      <c r="V649" s="201"/>
      <c r="W649" s="201"/>
      <c r="X649" s="201"/>
      <c r="Y649" s="201"/>
      <c r="Z649" s="202" t="str">
        <f t="shared" si="0"/>
        <v>RLOM Outlets</v>
      </c>
      <c r="AA649" s="174"/>
      <c r="AB649" s="147"/>
      <c r="AC649" s="147"/>
      <c r="AD649" s="147"/>
      <c r="AE649" s="147"/>
      <c r="AF649" s="147"/>
      <c r="AG649" s="147"/>
      <c r="AH649" s="147"/>
      <c r="AI649" s="147"/>
      <c r="AJ649" s="147"/>
      <c r="AK649" s="147"/>
      <c r="AL649" s="147"/>
      <c r="AM649" s="147"/>
      <c r="AN649" s="147"/>
    </row>
    <row r="650" spans="1:40" ht="45" customHeight="1">
      <c r="A650" s="239">
        <v>5</v>
      </c>
      <c r="B650" s="239" t="s">
        <v>1676</v>
      </c>
      <c r="C650" s="239">
        <v>52</v>
      </c>
      <c r="D650" s="193" t="s">
        <v>1824</v>
      </c>
      <c r="E650" s="193">
        <v>522</v>
      </c>
      <c r="F650" s="193" t="s">
        <v>1911</v>
      </c>
      <c r="G650" s="193" t="s">
        <v>1912</v>
      </c>
      <c r="H650" s="212" t="str">
        <f>HYPERLINK("http://bsdd.buildingsmart.org/#concept/details/3N_z80I6yHuO00025QrE$V","3N_z80I6yHuO00025QrE$V")</f>
        <v>3N_z80I6yHuO00025QrE$V</v>
      </c>
      <c r="I650" s="123" t="s">
        <v>1913</v>
      </c>
      <c r="J650" s="195" t="s">
        <v>4550</v>
      </c>
      <c r="K650" s="191" t="s">
        <v>1914</v>
      </c>
      <c r="L650" s="248" t="s">
        <v>4551</v>
      </c>
      <c r="M650" s="210"/>
      <c r="N650" s="203" t="s">
        <v>1551</v>
      </c>
      <c r="O650" s="203" t="s">
        <v>1552</v>
      </c>
      <c r="P650" s="191" t="s">
        <v>1553</v>
      </c>
      <c r="Q650" s="192" t="s">
        <v>1240</v>
      </c>
      <c r="R650" s="192" t="s">
        <v>1241</v>
      </c>
      <c r="S650" s="206" t="s">
        <v>1576</v>
      </c>
      <c r="T650" s="199"/>
      <c r="U650" s="238"/>
      <c r="V650" s="201"/>
      <c r="W650" s="201"/>
      <c r="X650" s="201"/>
      <c r="Y650" s="201"/>
      <c r="Z650" s="202" t="str">
        <f t="shared" si="0"/>
        <v>RLOM UnitaryControlElements</v>
      </c>
      <c r="AA650" s="174"/>
      <c r="AB650" s="147"/>
      <c r="AC650" s="147"/>
      <c r="AD650" s="147"/>
      <c r="AE650" s="147"/>
      <c r="AF650" s="147"/>
      <c r="AG650" s="147"/>
      <c r="AH650" s="147"/>
      <c r="AI650" s="147"/>
      <c r="AJ650" s="147"/>
      <c r="AK650" s="147"/>
      <c r="AL650" s="147"/>
      <c r="AM650" s="147"/>
      <c r="AN650" s="147"/>
    </row>
    <row r="651" spans="1:40" ht="18" customHeight="1">
      <c r="A651" s="239">
        <v>5</v>
      </c>
      <c r="B651" s="239" t="s">
        <v>1676</v>
      </c>
      <c r="C651" s="239">
        <v>52</v>
      </c>
      <c r="D651" s="193" t="s">
        <v>1824</v>
      </c>
      <c r="E651" s="193">
        <v>529</v>
      </c>
      <c r="F651" s="193" t="s">
        <v>1825</v>
      </c>
      <c r="G651" s="193" t="s">
        <v>1826</v>
      </c>
      <c r="H651" s="212" t="str">
        <f>HYPERLINK("http://bsdd.buildingsmart.org/#concept/details/2AIpt4kzj8YwT1si$uMNKZ","2AIpt4kzj8YwT1si$uMNKZ")</f>
        <v>2AIpt4kzj8YwT1si$uMNKZ</v>
      </c>
      <c r="I651" s="123" t="s">
        <v>1828</v>
      </c>
      <c r="J651" s="195" t="s">
        <v>4552</v>
      </c>
      <c r="K651" s="191"/>
      <c r="L651" s="248" t="s">
        <v>4553</v>
      </c>
      <c r="M651" s="210"/>
      <c r="N651" s="203" t="s">
        <v>1135</v>
      </c>
      <c r="O651" s="203" t="s">
        <v>1137</v>
      </c>
      <c r="P651" s="191" t="s">
        <v>1139</v>
      </c>
      <c r="Q651" s="192" t="s">
        <v>1140</v>
      </c>
      <c r="R651" s="192" t="s">
        <v>1141</v>
      </c>
      <c r="S651" s="206" t="s">
        <v>1142</v>
      </c>
      <c r="T651" s="199"/>
      <c r="U651" s="238"/>
      <c r="V651" s="201"/>
      <c r="W651" s="201"/>
      <c r="X651" s="201"/>
      <c r="Y651" s="201"/>
      <c r="Z651" s="202" t="str">
        <f t="shared" si="0"/>
        <v>RLOM CommunicationsAppliances</v>
      </c>
      <c r="AA651" s="174"/>
      <c r="AB651" s="147"/>
      <c r="AC651" s="147"/>
      <c r="AD651" s="147"/>
      <c r="AE651" s="147"/>
      <c r="AF651" s="147"/>
      <c r="AG651" s="147"/>
      <c r="AH651" s="147"/>
      <c r="AI651" s="147"/>
      <c r="AJ651" s="147"/>
      <c r="AK651" s="147"/>
      <c r="AL651" s="147"/>
      <c r="AM651" s="147"/>
      <c r="AN651" s="147"/>
    </row>
    <row r="652" spans="1:40" ht="27" customHeight="1">
      <c r="A652" s="239">
        <v>5</v>
      </c>
      <c r="B652" s="239" t="s">
        <v>1676</v>
      </c>
      <c r="C652" s="239">
        <v>53</v>
      </c>
      <c r="D652" s="193" t="s">
        <v>1918</v>
      </c>
      <c r="E652" s="193">
        <v>532</v>
      </c>
      <c r="F652" s="193" t="s">
        <v>1942</v>
      </c>
      <c r="G652" s="193"/>
      <c r="H652" s="212" t="str">
        <f>HYPERLINK("http://bsdd.buildingsmart.org/#concept/details/3POXbyRpL73B9Z9Bkpwz3A","3POXbyRpL73B9Z9Bkpwz3A")</f>
        <v>3POXbyRpL73B9Z9Bkpwz3A</v>
      </c>
      <c r="I652" s="123" t="s">
        <v>1944</v>
      </c>
      <c r="J652" s="195" t="s">
        <v>4554</v>
      </c>
      <c r="K652" s="191"/>
      <c r="L652" s="248" t="s">
        <v>4555</v>
      </c>
      <c r="M652" s="210"/>
      <c r="N652" s="203" t="s">
        <v>1947</v>
      </c>
      <c r="O652" s="203" t="s">
        <v>1948</v>
      </c>
      <c r="P652" s="191" t="s">
        <v>1952</v>
      </c>
      <c r="Q652" s="192" t="s">
        <v>1854</v>
      </c>
      <c r="R652" s="192" t="s">
        <v>1855</v>
      </c>
      <c r="S652" s="206" t="s">
        <v>1955</v>
      </c>
      <c r="T652" s="199"/>
      <c r="U652" s="201"/>
      <c r="V652" s="201"/>
      <c r="W652" s="201"/>
      <c r="X652" s="201"/>
      <c r="Y652" s="201"/>
      <c r="Z652" s="202" t="str">
        <f t="shared" si="0"/>
        <v>RLOM AudioVisualAppliances</v>
      </c>
      <c r="AA652" s="174"/>
      <c r="AB652" s="147"/>
      <c r="AC652" s="147"/>
      <c r="AD652" s="147"/>
      <c r="AE652" s="147"/>
      <c r="AF652" s="147"/>
      <c r="AG652" s="147"/>
      <c r="AH652" s="147"/>
      <c r="AI652" s="147"/>
      <c r="AJ652" s="147"/>
      <c r="AK652" s="147"/>
      <c r="AL652" s="147"/>
      <c r="AM652" s="147"/>
      <c r="AN652" s="147"/>
    </row>
    <row r="653" spans="1:40" ht="18" customHeight="1">
      <c r="A653" s="239">
        <v>5</v>
      </c>
      <c r="B653" s="239" t="s">
        <v>1676</v>
      </c>
      <c r="C653" s="239">
        <v>53</v>
      </c>
      <c r="D653" s="193" t="s">
        <v>1918</v>
      </c>
      <c r="E653" s="193">
        <v>534</v>
      </c>
      <c r="F653" s="193" t="s">
        <v>1919</v>
      </c>
      <c r="G653" s="193"/>
      <c r="H653" s="212" t="str">
        <f>HYPERLINK("http://bsdd.buildingsmart.org/#concept/details/2llfl1yWnC_Q5ET4kcX1Gd","2llfl1yWnC_Q5ET4kcX1Gd")</f>
        <v>2llfl1yWnC_Q5ET4kcX1Gd</v>
      </c>
      <c r="I653" s="123" t="s">
        <v>1920</v>
      </c>
      <c r="J653" s="195" t="s">
        <v>4556</v>
      </c>
      <c r="K653" s="191"/>
      <c r="L653" s="248" t="s">
        <v>4557</v>
      </c>
      <c r="M653" s="210"/>
      <c r="N653" s="203" t="s">
        <v>1851</v>
      </c>
      <c r="O653" s="203" t="s">
        <v>1852</v>
      </c>
      <c r="P653" s="191" t="s">
        <v>1853</v>
      </c>
      <c r="Q653" s="192" t="s">
        <v>1854</v>
      </c>
      <c r="R653" s="192" t="s">
        <v>1855</v>
      </c>
      <c r="S653" s="206" t="s">
        <v>1929</v>
      </c>
      <c r="T653" s="199"/>
      <c r="U653" s="201"/>
      <c r="V653" s="201"/>
      <c r="W653" s="201"/>
      <c r="X653" s="201"/>
      <c r="Y653" s="201"/>
      <c r="Z653" s="202" t="str">
        <f t="shared" si="0"/>
        <v>RLOM AudioVisualAppliances</v>
      </c>
      <c r="AA653" s="174"/>
      <c r="AB653" s="147"/>
      <c r="AC653" s="147"/>
      <c r="AD653" s="147"/>
      <c r="AE653" s="147"/>
      <c r="AF653" s="147"/>
      <c r="AG653" s="147"/>
      <c r="AH653" s="147"/>
      <c r="AI653" s="147"/>
      <c r="AJ653" s="147"/>
      <c r="AK653" s="147"/>
      <c r="AL653" s="147"/>
      <c r="AM653" s="147"/>
      <c r="AN653" s="147"/>
    </row>
    <row r="654" spans="1:40" ht="36" customHeight="1">
      <c r="A654" s="239">
        <v>5</v>
      </c>
      <c r="B654" s="239" t="s">
        <v>1676</v>
      </c>
      <c r="C654" s="239">
        <v>53</v>
      </c>
      <c r="D654" s="193" t="s">
        <v>1918</v>
      </c>
      <c r="E654" s="193">
        <v>534</v>
      </c>
      <c r="F654" s="193" t="s">
        <v>1919</v>
      </c>
      <c r="G654" s="193"/>
      <c r="H654" s="212" t="str">
        <f>HYPERLINK("http://bsdd.buildingsmart.org/#concept/details/23nzUPx1bDN9T5plZdmtyB","23nzUPx1bDN9T5plZdmtyB")</f>
        <v>23nzUPx1bDN9T5plZdmtyB</v>
      </c>
      <c r="I654" s="123" t="s">
        <v>1930</v>
      </c>
      <c r="J654" s="195" t="s">
        <v>4558</v>
      </c>
      <c r="K654" s="191"/>
      <c r="L654" s="248" t="s">
        <v>4559</v>
      </c>
      <c r="M654" s="210"/>
      <c r="N654" s="203" t="s">
        <v>1935</v>
      </c>
      <c r="O654" s="203" t="s">
        <v>1936</v>
      </c>
      <c r="P654" s="191" t="s">
        <v>1937</v>
      </c>
      <c r="Q654" s="192" t="s">
        <v>1938</v>
      </c>
      <c r="R654" s="192" t="s">
        <v>1939</v>
      </c>
      <c r="S654" s="206" t="s">
        <v>1940</v>
      </c>
      <c r="T654" s="199"/>
      <c r="U654" s="201"/>
      <c r="V654" s="201"/>
      <c r="W654" s="201"/>
      <c r="X654" s="201"/>
      <c r="Y654" s="201"/>
      <c r="Z654" s="202" t="str">
        <f t="shared" si="0"/>
        <v>RLOM Alarms</v>
      </c>
      <c r="AA654" s="174"/>
      <c r="AB654" s="147"/>
      <c r="AC654" s="147"/>
      <c r="AD654" s="147"/>
      <c r="AE654" s="147"/>
      <c r="AF654" s="147"/>
      <c r="AG654" s="147"/>
      <c r="AH654" s="147"/>
      <c r="AI654" s="147"/>
      <c r="AJ654" s="147"/>
      <c r="AK654" s="147"/>
      <c r="AL654" s="147"/>
      <c r="AM654" s="147"/>
      <c r="AN654" s="147"/>
    </row>
    <row r="655" spans="1:40" ht="27" customHeight="1">
      <c r="A655" s="239">
        <v>5</v>
      </c>
      <c r="B655" s="239" t="s">
        <v>1676</v>
      </c>
      <c r="C655" s="239">
        <v>54</v>
      </c>
      <c r="D655" s="193" t="s">
        <v>1960</v>
      </c>
      <c r="E655" s="193">
        <v>542</v>
      </c>
      <c r="F655" s="193" t="s">
        <v>1961</v>
      </c>
      <c r="G655" s="193" t="s">
        <v>1962</v>
      </c>
      <c r="H655" s="212" t="str">
        <f>HYPERLINK("http://bsdd.buildingsmart.org/#concept/details/1UGWZj2g54hfgktqNA4RzF","1UGWZj2g54hfgktqNA4RzF")</f>
        <v>1UGWZj2g54hfgktqNA4RzF</v>
      </c>
      <c r="I655" s="123" t="s">
        <v>1964</v>
      </c>
      <c r="J655" s="195" t="s">
        <v>4560</v>
      </c>
      <c r="K655" s="191"/>
      <c r="L655" s="248" t="s">
        <v>4561</v>
      </c>
      <c r="M655" s="210"/>
      <c r="N655" s="203" t="s">
        <v>1935</v>
      </c>
      <c r="O655" s="203" t="s">
        <v>1936</v>
      </c>
      <c r="P655" s="191" t="s">
        <v>1937</v>
      </c>
      <c r="Q655" s="192" t="s">
        <v>1938</v>
      </c>
      <c r="R655" s="192" t="s">
        <v>1939</v>
      </c>
      <c r="S655" s="206" t="s">
        <v>1968</v>
      </c>
      <c r="T655" s="199"/>
      <c r="U655" s="201"/>
      <c r="V655" s="201"/>
      <c r="W655" s="201"/>
      <c r="X655" s="201"/>
      <c r="Y655" s="201"/>
      <c r="Z655" s="202" t="str">
        <f t="shared" si="0"/>
        <v>RLOM Alarms</v>
      </c>
      <c r="AA655" s="174"/>
      <c r="AB655" s="147"/>
      <c r="AC655" s="147"/>
      <c r="AD655" s="147"/>
      <c r="AE655" s="147"/>
      <c r="AF655" s="147"/>
      <c r="AG655" s="147"/>
      <c r="AH655" s="147"/>
      <c r="AI655" s="147"/>
      <c r="AJ655" s="147"/>
      <c r="AK655" s="147"/>
      <c r="AL655" s="147"/>
      <c r="AM655" s="147"/>
      <c r="AN655" s="147"/>
    </row>
    <row r="656" spans="1:40" ht="27" customHeight="1">
      <c r="A656" s="239">
        <v>5</v>
      </c>
      <c r="B656" s="239" t="s">
        <v>1676</v>
      </c>
      <c r="C656" s="239">
        <v>54</v>
      </c>
      <c r="D656" s="193" t="s">
        <v>1960</v>
      </c>
      <c r="E656" s="193">
        <v>542</v>
      </c>
      <c r="F656" s="193" t="s">
        <v>1961</v>
      </c>
      <c r="G656" s="193" t="s">
        <v>1962</v>
      </c>
      <c r="H656" s="212" t="str">
        <f>HYPERLINK("http://bsdd.buildingsmart.org/#concept/details/0kYESSB5rF_wvziQe$iAzz","0kYESSB5rF_wvziQe$iAzz")</f>
        <v>0kYESSB5rF_wvziQe$iAzz</v>
      </c>
      <c r="I656" s="123" t="s">
        <v>1972</v>
      </c>
      <c r="J656" s="195" t="s">
        <v>4562</v>
      </c>
      <c r="K656" s="191"/>
      <c r="L656" s="248" t="s">
        <v>4563</v>
      </c>
      <c r="M656" s="210"/>
      <c r="N656" s="203" t="s">
        <v>1935</v>
      </c>
      <c r="O656" s="203" t="s">
        <v>1936</v>
      </c>
      <c r="P656" s="191" t="s">
        <v>1937</v>
      </c>
      <c r="Q656" s="192" t="s">
        <v>1938</v>
      </c>
      <c r="R656" s="192" t="s">
        <v>1939</v>
      </c>
      <c r="S656" s="206" t="s">
        <v>1968</v>
      </c>
      <c r="T656" s="199"/>
      <c r="U656" s="201"/>
      <c r="V656" s="201"/>
      <c r="W656" s="201"/>
      <c r="X656" s="201"/>
      <c r="Y656" s="201"/>
      <c r="Z656" s="202" t="str">
        <f t="shared" si="0"/>
        <v>RLOM Alarms</v>
      </c>
      <c r="AA656" s="174"/>
      <c r="AB656" s="147"/>
      <c r="AC656" s="147"/>
      <c r="AD656" s="147"/>
      <c r="AE656" s="147"/>
      <c r="AF656" s="147"/>
      <c r="AG656" s="147"/>
      <c r="AH656" s="147"/>
      <c r="AI656" s="147"/>
      <c r="AJ656" s="147"/>
      <c r="AK656" s="147"/>
      <c r="AL656" s="147"/>
      <c r="AM656" s="147"/>
      <c r="AN656" s="147"/>
    </row>
    <row r="657" spans="1:40" ht="27" customHeight="1">
      <c r="A657" s="239">
        <v>5</v>
      </c>
      <c r="B657" s="239" t="s">
        <v>1676</v>
      </c>
      <c r="C657" s="239">
        <v>54</v>
      </c>
      <c r="D657" s="193" t="s">
        <v>1960</v>
      </c>
      <c r="E657" s="193">
        <v>542</v>
      </c>
      <c r="F657" s="193" t="s">
        <v>1961</v>
      </c>
      <c r="G657" s="193" t="s">
        <v>1962</v>
      </c>
      <c r="H657" s="212" t="str">
        <f>HYPERLINK("http://bsdd.buildingsmart.org/#concept/details/22dcAZkiL5fgb71EoDLwYr","22dcAZkiL5fgb71EoDLwYr")</f>
        <v>22dcAZkiL5fgb71EoDLwYr</v>
      </c>
      <c r="I657" s="123" t="s">
        <v>1980</v>
      </c>
      <c r="J657" s="195" t="s">
        <v>4564</v>
      </c>
      <c r="K657" s="191"/>
      <c r="L657" s="248" t="s">
        <v>4565</v>
      </c>
      <c r="M657" s="210"/>
      <c r="N657" s="203" t="s">
        <v>1935</v>
      </c>
      <c r="O657" s="203" t="s">
        <v>1936</v>
      </c>
      <c r="P657" s="191" t="s">
        <v>1937</v>
      </c>
      <c r="Q657" s="192" t="s">
        <v>1854</v>
      </c>
      <c r="R657" s="192" t="s">
        <v>1855</v>
      </c>
      <c r="S657" s="206" t="s">
        <v>1955</v>
      </c>
      <c r="T657" s="199"/>
      <c r="U657" s="201"/>
      <c r="V657" s="201"/>
      <c r="W657" s="201"/>
      <c r="X657" s="201"/>
      <c r="Y657" s="201"/>
      <c r="Z657" s="202" t="str">
        <f t="shared" si="0"/>
        <v>RLOM AudioVisualAppliances</v>
      </c>
      <c r="AA657" s="174"/>
      <c r="AB657" s="147"/>
      <c r="AC657" s="147"/>
      <c r="AD657" s="147"/>
      <c r="AE657" s="147"/>
      <c r="AF657" s="147"/>
      <c r="AG657" s="147"/>
      <c r="AH657" s="147"/>
      <c r="AI657" s="147"/>
      <c r="AJ657" s="147"/>
      <c r="AK657" s="147"/>
      <c r="AL657" s="147"/>
      <c r="AM657" s="147"/>
      <c r="AN657" s="147"/>
    </row>
    <row r="658" spans="1:40" ht="45" customHeight="1">
      <c r="A658" s="239">
        <v>5</v>
      </c>
      <c r="B658" s="239" t="s">
        <v>1676</v>
      </c>
      <c r="C658" s="239">
        <v>54</v>
      </c>
      <c r="D658" s="193" t="s">
        <v>1960</v>
      </c>
      <c r="E658" s="193">
        <v>542</v>
      </c>
      <c r="F658" s="193" t="s">
        <v>1961</v>
      </c>
      <c r="G658" s="193" t="s">
        <v>1962</v>
      </c>
      <c r="H658" s="212" t="str">
        <f>HYPERLINK("http://bsdd.buildingsmart.org/#concept/details/1rPuqSiIT17PWRONlQBQ$k","1rPuqSiIT17PWRONlQBQ$k")</f>
        <v>1rPuqSiIT17PWRONlQBQ$k</v>
      </c>
      <c r="I658" s="123" t="s">
        <v>1992</v>
      </c>
      <c r="J658" s="195" t="s">
        <v>4566</v>
      </c>
      <c r="K658" s="191"/>
      <c r="L658" s="248" t="s">
        <v>4567</v>
      </c>
      <c r="M658" s="210"/>
      <c r="N658" s="203" t="s">
        <v>1935</v>
      </c>
      <c r="O658" s="203" t="s">
        <v>1936</v>
      </c>
      <c r="P658" s="191" t="s">
        <v>1937</v>
      </c>
      <c r="Q658" s="192" t="s">
        <v>1854</v>
      </c>
      <c r="R658" s="192" t="s">
        <v>1855</v>
      </c>
      <c r="S658" s="206" t="s">
        <v>1955</v>
      </c>
      <c r="T658" s="199"/>
      <c r="U658" s="201"/>
      <c r="V658" s="201"/>
      <c r="W658" s="201"/>
      <c r="X658" s="201"/>
      <c r="Y658" s="201"/>
      <c r="Z658" s="202" t="str">
        <f t="shared" si="0"/>
        <v>RLOM AudioVisualAppliances</v>
      </c>
      <c r="AA658" s="174"/>
      <c r="AB658" s="147"/>
      <c r="AC658" s="147"/>
      <c r="AD658" s="147"/>
      <c r="AE658" s="147"/>
      <c r="AF658" s="147"/>
      <c r="AG658" s="147"/>
      <c r="AH658" s="147"/>
      <c r="AI658" s="147"/>
      <c r="AJ658" s="147"/>
      <c r="AK658" s="147"/>
      <c r="AL658" s="147"/>
      <c r="AM658" s="147"/>
      <c r="AN658" s="147"/>
    </row>
    <row r="659" spans="1:40" ht="18" customHeight="1">
      <c r="A659" s="239">
        <v>5</v>
      </c>
      <c r="B659" s="239" t="s">
        <v>1676</v>
      </c>
      <c r="C659" s="239">
        <v>54</v>
      </c>
      <c r="D659" s="193" t="s">
        <v>1960</v>
      </c>
      <c r="E659" s="193">
        <v>542</v>
      </c>
      <c r="F659" s="193" t="s">
        <v>1961</v>
      </c>
      <c r="G659" s="193" t="s">
        <v>1962</v>
      </c>
      <c r="H659" s="212" t="str">
        <f>HYPERLINK("http://bsdd.buildingsmart.org/#concept/details/3Q3p6ABReHtm00025QrE$V","3Q3p6ABReHtm00025QrE$V")</f>
        <v>3Q3p6ABReHtm00025QrE$V</v>
      </c>
      <c r="I659" s="123" t="s">
        <v>1996</v>
      </c>
      <c r="J659" s="195" t="s">
        <v>4568</v>
      </c>
      <c r="K659" s="191"/>
      <c r="L659" s="248" t="s">
        <v>4569</v>
      </c>
      <c r="M659" s="210"/>
      <c r="N659" s="203" t="s">
        <v>1551</v>
      </c>
      <c r="O659" s="203" t="s">
        <v>1552</v>
      </c>
      <c r="P659" s="191" t="s">
        <v>1553</v>
      </c>
      <c r="Q659" s="192" t="s">
        <v>1240</v>
      </c>
      <c r="R659" s="192" t="s">
        <v>1241</v>
      </c>
      <c r="S659" s="206" t="s">
        <v>1242</v>
      </c>
      <c r="T659" s="199"/>
      <c r="U659" s="201"/>
      <c r="V659" s="201"/>
      <c r="W659" s="201"/>
      <c r="X659" s="201"/>
      <c r="Y659" s="201"/>
      <c r="Z659" s="202" t="str">
        <f t="shared" si="0"/>
        <v>RLOM UnitaryControlElements</v>
      </c>
      <c r="AA659" s="174"/>
      <c r="AB659" s="147"/>
      <c r="AC659" s="147"/>
      <c r="AD659" s="147"/>
      <c r="AE659" s="147"/>
      <c r="AF659" s="147"/>
      <c r="AG659" s="147"/>
      <c r="AH659" s="147"/>
      <c r="AI659" s="147"/>
      <c r="AJ659" s="147"/>
      <c r="AK659" s="147"/>
      <c r="AL659" s="147"/>
      <c r="AM659" s="147"/>
      <c r="AN659" s="147"/>
    </row>
    <row r="660" spans="1:40" ht="36" customHeight="1">
      <c r="A660" s="239">
        <v>5</v>
      </c>
      <c r="B660" s="239" t="s">
        <v>1676</v>
      </c>
      <c r="C660" s="239">
        <v>54</v>
      </c>
      <c r="D660" s="193" t="s">
        <v>1960</v>
      </c>
      <c r="E660" s="193">
        <v>542</v>
      </c>
      <c r="F660" s="193" t="s">
        <v>1961</v>
      </c>
      <c r="G660" s="193" t="s">
        <v>1962</v>
      </c>
      <c r="H660" s="212" t="str">
        <f>HYPERLINK("http://bsdd.buildingsmart.org/#concept/details/1qdVcvHJj6TxJQ5kq5FaQz","1qdVcvHJj6TxJQ5kq5FaQz")</f>
        <v>1qdVcvHJj6TxJQ5kq5FaQz</v>
      </c>
      <c r="I660" s="123" t="s">
        <v>2001</v>
      </c>
      <c r="J660" s="195" t="s">
        <v>4570</v>
      </c>
      <c r="K660" s="191" t="s">
        <v>2003</v>
      </c>
      <c r="L660" s="248" t="s">
        <v>4571</v>
      </c>
      <c r="M660" s="210" t="s">
        <v>2006</v>
      </c>
      <c r="N660" s="203" t="s">
        <v>1586</v>
      </c>
      <c r="O660" s="203" t="s">
        <v>2008</v>
      </c>
      <c r="P660" s="191" t="s">
        <v>1588</v>
      </c>
      <c r="Q660" s="192" t="s">
        <v>559</v>
      </c>
      <c r="R660" s="192" t="s">
        <v>625</v>
      </c>
      <c r="S660" s="206" t="s">
        <v>2012</v>
      </c>
      <c r="T660" s="199"/>
      <c r="U660" s="201"/>
      <c r="V660" s="201"/>
      <c r="W660" s="201"/>
      <c r="X660" s="201"/>
      <c r="Y660" s="201"/>
      <c r="Z660" s="202" t="str">
        <f t="shared" si="0"/>
        <v>RLOM Sensors</v>
      </c>
      <c r="AA660" s="174"/>
      <c r="AB660" s="147"/>
      <c r="AC660" s="147"/>
      <c r="AD660" s="147"/>
      <c r="AE660" s="147"/>
      <c r="AF660" s="147"/>
      <c r="AG660" s="147"/>
      <c r="AH660" s="147"/>
      <c r="AI660" s="147"/>
      <c r="AJ660" s="147"/>
      <c r="AK660" s="147"/>
      <c r="AL660" s="147"/>
      <c r="AM660" s="147"/>
      <c r="AN660" s="147"/>
    </row>
    <row r="661" spans="1:40" ht="27" customHeight="1">
      <c r="A661" s="239">
        <v>5</v>
      </c>
      <c r="B661" s="239" t="s">
        <v>1676</v>
      </c>
      <c r="C661" s="239">
        <v>54</v>
      </c>
      <c r="D661" s="193" t="s">
        <v>1960</v>
      </c>
      <c r="E661" s="193">
        <v>542</v>
      </c>
      <c r="F661" s="193" t="s">
        <v>1961</v>
      </c>
      <c r="G661" s="193" t="s">
        <v>1962</v>
      </c>
      <c r="H661" s="212" t="str">
        <f>HYPERLINK("http://bsdd.buildingsmart.org/#concept/details/1sX7r9ywH48hUrQw2U3JnE","1sX7r9ywH48hUrQw2U3JnE")</f>
        <v>1sX7r9ywH48hUrQw2U3JnE</v>
      </c>
      <c r="I661" s="123" t="s">
        <v>2014</v>
      </c>
      <c r="J661" s="195" t="s">
        <v>4572</v>
      </c>
      <c r="K661" s="191" t="s">
        <v>2016</v>
      </c>
      <c r="L661" s="248" t="s">
        <v>4573</v>
      </c>
      <c r="M661" s="210" t="s">
        <v>2020</v>
      </c>
      <c r="N661" s="203" t="s">
        <v>2021</v>
      </c>
      <c r="O661" s="203" t="s">
        <v>2022</v>
      </c>
      <c r="P661" s="191" t="s">
        <v>2024</v>
      </c>
      <c r="Q661" s="192" t="s">
        <v>1240</v>
      </c>
      <c r="R661" s="192" t="s">
        <v>1241</v>
      </c>
      <c r="S661" s="206" t="s">
        <v>1242</v>
      </c>
      <c r="T661" s="199"/>
      <c r="U661" s="201"/>
      <c r="V661" s="201"/>
      <c r="W661" s="201"/>
      <c r="X661" s="201"/>
      <c r="Y661" s="201"/>
      <c r="Z661" s="202" t="str">
        <f t="shared" si="0"/>
        <v>RLOM UnitaryControlElements</v>
      </c>
      <c r="AA661" s="174"/>
      <c r="AB661" s="147"/>
      <c r="AC661" s="147"/>
      <c r="AD661" s="147"/>
      <c r="AE661" s="147"/>
      <c r="AF661" s="147"/>
      <c r="AG661" s="147"/>
      <c r="AH661" s="147"/>
      <c r="AI661" s="147"/>
      <c r="AJ661" s="147"/>
      <c r="AK661" s="147"/>
      <c r="AL661" s="147"/>
      <c r="AM661" s="147"/>
      <c r="AN661" s="147"/>
    </row>
    <row r="662" spans="1:40" ht="21.75" customHeight="1">
      <c r="A662" s="239">
        <v>5</v>
      </c>
      <c r="B662" s="239" t="s">
        <v>1676</v>
      </c>
      <c r="C662" s="239">
        <v>54</v>
      </c>
      <c r="D662" s="193" t="s">
        <v>1960</v>
      </c>
      <c r="E662" s="193">
        <v>542</v>
      </c>
      <c r="F662" s="193" t="s">
        <v>1961</v>
      </c>
      <c r="G662" s="193" t="s">
        <v>1962</v>
      </c>
      <c r="H662" s="212" t="str">
        <f>HYPERLINK("http://bsdd.buildingsmart.org/#concept/details/3vHLjIoT0Hsm00051Mm008","3vHLjIoT0Hsm00051Mm008")</f>
        <v>3vHLjIoT0Hsm00051Mm008</v>
      </c>
      <c r="I662" s="123" t="s">
        <v>2028</v>
      </c>
      <c r="J662" s="195" t="s">
        <v>4574</v>
      </c>
      <c r="K662" s="191"/>
      <c r="L662" s="248" t="s">
        <v>4575</v>
      </c>
      <c r="M662" s="210"/>
      <c r="N662" s="203" t="s">
        <v>1586</v>
      </c>
      <c r="O662" s="203" t="s">
        <v>2008</v>
      </c>
      <c r="P662" s="191"/>
      <c r="Q662" s="192" t="s">
        <v>559</v>
      </c>
      <c r="R662" s="192" t="s">
        <v>625</v>
      </c>
      <c r="S662" s="206" t="s">
        <v>2012</v>
      </c>
      <c r="T662" s="199"/>
      <c r="U662" s="201"/>
      <c r="V662" s="201"/>
      <c r="W662" s="201"/>
      <c r="X662" s="201"/>
      <c r="Y662" s="201"/>
      <c r="Z662" s="202" t="str">
        <f t="shared" si="0"/>
        <v>RLOM Sensors</v>
      </c>
      <c r="AA662" s="174"/>
      <c r="AB662" s="147"/>
      <c r="AC662" s="147"/>
      <c r="AD662" s="147"/>
      <c r="AE662" s="147"/>
      <c r="AF662" s="147"/>
      <c r="AG662" s="147"/>
      <c r="AH662" s="147"/>
      <c r="AI662" s="147"/>
      <c r="AJ662" s="147"/>
      <c r="AK662" s="147"/>
      <c r="AL662" s="147"/>
      <c r="AM662" s="147"/>
      <c r="AN662" s="147"/>
    </row>
    <row r="663" spans="1:40" ht="48" customHeight="1">
      <c r="A663" s="239">
        <v>5</v>
      </c>
      <c r="B663" s="239" t="s">
        <v>1676</v>
      </c>
      <c r="C663" s="239">
        <v>54</v>
      </c>
      <c r="D663" s="193" t="s">
        <v>1960</v>
      </c>
      <c r="E663" s="193">
        <v>542</v>
      </c>
      <c r="F663" s="193" t="s">
        <v>1961</v>
      </c>
      <c r="G663" s="193" t="s">
        <v>1962</v>
      </c>
      <c r="H663" s="212" t="str">
        <f>HYPERLINK("http://bsdd.buildingsmart.org/#concept/details/03uCcAIen7FBhd0kRiSGMf","03uCcAIen7FBhd0kRiSGMf")</f>
        <v>03uCcAIen7FBhd0kRiSGMf</v>
      </c>
      <c r="I663" s="123" t="s">
        <v>5166</v>
      </c>
      <c r="J663" s="195" t="s">
        <v>4576</v>
      </c>
      <c r="K663" s="191" t="s">
        <v>2033</v>
      </c>
      <c r="L663" s="248" t="s">
        <v>4577</v>
      </c>
      <c r="M663" s="210" t="s">
        <v>2036</v>
      </c>
      <c r="N663" s="203" t="s">
        <v>1586</v>
      </c>
      <c r="O663" s="203" t="s">
        <v>2008</v>
      </c>
      <c r="P663" s="191" t="s">
        <v>1588</v>
      </c>
      <c r="Q663" s="192" t="s">
        <v>559</v>
      </c>
      <c r="R663" s="192" t="s">
        <v>625</v>
      </c>
      <c r="S663" s="206" t="s">
        <v>2012</v>
      </c>
      <c r="T663" s="199"/>
      <c r="U663" s="201"/>
      <c r="V663" s="201"/>
      <c r="W663" s="201"/>
      <c r="X663" s="201"/>
      <c r="Y663" s="201"/>
      <c r="Z663" s="202" t="str">
        <f t="shared" si="0"/>
        <v>RLOM Sensors</v>
      </c>
      <c r="AA663" s="174"/>
      <c r="AB663" s="147"/>
      <c r="AC663" s="147"/>
      <c r="AD663" s="147"/>
      <c r="AE663" s="147"/>
      <c r="AF663" s="147"/>
      <c r="AG663" s="147"/>
      <c r="AH663" s="147"/>
      <c r="AI663" s="147"/>
      <c r="AJ663" s="147"/>
      <c r="AK663" s="147"/>
      <c r="AL663" s="147"/>
      <c r="AM663" s="147"/>
      <c r="AN663" s="147"/>
    </row>
    <row r="664" spans="1:40" ht="48" customHeight="1">
      <c r="A664" s="239">
        <v>5</v>
      </c>
      <c r="B664" s="239" t="s">
        <v>1676</v>
      </c>
      <c r="C664" s="239">
        <v>54</v>
      </c>
      <c r="D664" s="193" t="s">
        <v>1960</v>
      </c>
      <c r="E664" s="193">
        <v>542</v>
      </c>
      <c r="F664" s="193" t="s">
        <v>1961</v>
      </c>
      <c r="G664" s="193" t="s">
        <v>1962</v>
      </c>
      <c r="H664" s="212" t="str">
        <f>HYPERLINK("http://bsdd.buildingsmart.org/#concept/details/1h1NDFmsXBUADz28j2Z9Cj","1h1NDFmsXBUADz28j2Z9Cj")</f>
        <v>1h1NDFmsXBUADz28j2Z9Cj</v>
      </c>
      <c r="I664" s="123" t="s">
        <v>5167</v>
      </c>
      <c r="J664" s="195" t="s">
        <v>4578</v>
      </c>
      <c r="K664" s="191" t="s">
        <v>2046</v>
      </c>
      <c r="L664" s="248" t="s">
        <v>4579</v>
      </c>
      <c r="M664" s="210" t="s">
        <v>2048</v>
      </c>
      <c r="N664" s="203" t="s">
        <v>1586</v>
      </c>
      <c r="O664" s="203" t="s">
        <v>2008</v>
      </c>
      <c r="P664" s="191" t="s">
        <v>1588</v>
      </c>
      <c r="Q664" s="192" t="s">
        <v>559</v>
      </c>
      <c r="R664" s="192" t="s">
        <v>625</v>
      </c>
      <c r="S664" s="206" t="s">
        <v>2012</v>
      </c>
      <c r="T664" s="199"/>
      <c r="U664" s="200"/>
      <c r="V664" s="201"/>
      <c r="W664" s="201"/>
      <c r="X664" s="201"/>
      <c r="Y664" s="201"/>
      <c r="Z664" s="202" t="str">
        <f t="shared" si="0"/>
        <v>RLOM Sensors</v>
      </c>
      <c r="AA664" s="174"/>
      <c r="AB664" s="147"/>
      <c r="AC664" s="147"/>
      <c r="AD664" s="147"/>
      <c r="AE664" s="147"/>
      <c r="AF664" s="147"/>
      <c r="AG664" s="147"/>
      <c r="AH664" s="147"/>
      <c r="AI664" s="147"/>
      <c r="AJ664" s="147"/>
      <c r="AK664" s="147"/>
      <c r="AL664" s="147"/>
      <c r="AM664" s="147"/>
      <c r="AN664" s="147"/>
    </row>
    <row r="665" spans="1:40" ht="72" customHeight="1">
      <c r="A665" s="239">
        <v>5</v>
      </c>
      <c r="B665" s="239" t="s">
        <v>1676</v>
      </c>
      <c r="C665" s="239">
        <v>54</v>
      </c>
      <c r="D665" s="193" t="s">
        <v>1960</v>
      </c>
      <c r="E665" s="193">
        <v>542</v>
      </c>
      <c r="F665" s="193" t="s">
        <v>1961</v>
      </c>
      <c r="G665" s="193" t="s">
        <v>1962</v>
      </c>
      <c r="H665" s="212" t="str">
        <f>HYPERLINK("http://bsdd.buildingsmart.org/#concept/details/3D4t8BcXfA9Qym3cev3nMe","3D4t8BcXfA9Qym3cev3nMe")</f>
        <v>3D4t8BcXfA9Qym3cev3nMe</v>
      </c>
      <c r="I665" s="123" t="s">
        <v>5168</v>
      </c>
      <c r="J665" s="195" t="s">
        <v>4580</v>
      </c>
      <c r="K665" s="191" t="s">
        <v>2055</v>
      </c>
      <c r="L665" s="248" t="s">
        <v>4581</v>
      </c>
      <c r="M665" s="210" t="s">
        <v>2058</v>
      </c>
      <c r="N665" s="203" t="s">
        <v>1586</v>
      </c>
      <c r="O665" s="203" t="s">
        <v>2008</v>
      </c>
      <c r="P665" s="191" t="s">
        <v>1588</v>
      </c>
      <c r="Q665" s="192" t="s">
        <v>559</v>
      </c>
      <c r="R665" s="192" t="s">
        <v>625</v>
      </c>
      <c r="S665" s="206" t="s">
        <v>2012</v>
      </c>
      <c r="T665" s="199"/>
      <c r="U665" s="201"/>
      <c r="V665" s="201"/>
      <c r="W665" s="201"/>
      <c r="X665" s="201"/>
      <c r="Y665" s="201"/>
      <c r="Z665" s="202" t="str">
        <f t="shared" si="0"/>
        <v>RLOM Sensors</v>
      </c>
      <c r="AA665" s="174"/>
      <c r="AB665" s="147"/>
      <c r="AC665" s="147"/>
      <c r="AD665" s="147"/>
      <c r="AE665" s="147"/>
      <c r="AF665" s="147"/>
      <c r="AG665" s="147"/>
      <c r="AH665" s="147"/>
      <c r="AI665" s="147"/>
      <c r="AJ665" s="147"/>
      <c r="AK665" s="147"/>
      <c r="AL665" s="147"/>
      <c r="AM665" s="147"/>
      <c r="AN665" s="147"/>
    </row>
    <row r="666" spans="1:40" ht="27" customHeight="1">
      <c r="A666" s="239">
        <v>5</v>
      </c>
      <c r="B666" s="239" t="s">
        <v>1676</v>
      </c>
      <c r="C666" s="239">
        <v>54</v>
      </c>
      <c r="D666" s="193" t="s">
        <v>1960</v>
      </c>
      <c r="E666" s="193">
        <v>542</v>
      </c>
      <c r="F666" s="193" t="s">
        <v>1961</v>
      </c>
      <c r="G666" s="193" t="s">
        <v>1962</v>
      </c>
      <c r="H666" s="212" t="str">
        <f>HYPERLINK("http://bsdd.buildingsmart.org/#concept/details/13WT394o9DxOAWHgeE70rp","13WT394o9DxOAWHgeE70rp")</f>
        <v>13WT394o9DxOAWHgeE70rp</v>
      </c>
      <c r="I666" s="123" t="s">
        <v>5169</v>
      </c>
      <c r="J666" s="195" t="s">
        <v>4582</v>
      </c>
      <c r="K666" s="191" t="s">
        <v>2071</v>
      </c>
      <c r="L666" s="248" t="s">
        <v>4583</v>
      </c>
      <c r="M666" s="210" t="s">
        <v>2074</v>
      </c>
      <c r="N666" s="203" t="s">
        <v>1586</v>
      </c>
      <c r="O666" s="203" t="s">
        <v>2008</v>
      </c>
      <c r="P666" s="191" t="s">
        <v>1588</v>
      </c>
      <c r="Q666" s="192" t="s">
        <v>559</v>
      </c>
      <c r="R666" s="192" t="s">
        <v>625</v>
      </c>
      <c r="S666" s="206" t="s">
        <v>2012</v>
      </c>
      <c r="T666" s="199"/>
      <c r="U666" s="201"/>
      <c r="V666" s="201"/>
      <c r="W666" s="201"/>
      <c r="X666" s="201"/>
      <c r="Y666" s="201"/>
      <c r="Z666" s="202" t="str">
        <f t="shared" si="0"/>
        <v>RLOM Sensors</v>
      </c>
      <c r="AA666" s="174"/>
      <c r="AB666" s="147"/>
      <c r="AC666" s="147"/>
      <c r="AD666" s="147"/>
      <c r="AE666" s="147"/>
      <c r="AF666" s="147"/>
      <c r="AG666" s="147"/>
      <c r="AH666" s="147"/>
      <c r="AI666" s="147"/>
      <c r="AJ666" s="147"/>
      <c r="AK666" s="147"/>
      <c r="AL666" s="147"/>
      <c r="AM666" s="147"/>
      <c r="AN666" s="147"/>
    </row>
    <row r="667" spans="1:40" ht="36" customHeight="1">
      <c r="A667" s="239">
        <v>5</v>
      </c>
      <c r="B667" s="239" t="s">
        <v>1676</v>
      </c>
      <c r="C667" s="239">
        <v>54</v>
      </c>
      <c r="D667" s="193" t="s">
        <v>1960</v>
      </c>
      <c r="E667" s="193">
        <v>542</v>
      </c>
      <c r="F667" s="193" t="s">
        <v>1961</v>
      </c>
      <c r="G667" s="193" t="s">
        <v>1962</v>
      </c>
      <c r="H667" s="212" t="str">
        <f>HYPERLINK("http://bsdd.buildingsmart.org/#concept/details/3gxLz3TwrCGwfCxZuRrEVY","3gxLz3TwrCGwfCxZuRrEVY")</f>
        <v>3gxLz3TwrCGwfCxZuRrEVY</v>
      </c>
      <c r="I667" s="123" t="s">
        <v>5170</v>
      </c>
      <c r="J667" s="195" t="s">
        <v>4584</v>
      </c>
      <c r="K667" s="191" t="s">
        <v>2003</v>
      </c>
      <c r="L667" s="248" t="s">
        <v>4585</v>
      </c>
      <c r="M667" s="210" t="s">
        <v>2006</v>
      </c>
      <c r="N667" s="203" t="s">
        <v>1586</v>
      </c>
      <c r="O667" s="203" t="s">
        <v>2008</v>
      </c>
      <c r="P667" s="191" t="s">
        <v>1588</v>
      </c>
      <c r="Q667" s="192" t="s">
        <v>559</v>
      </c>
      <c r="R667" s="192" t="s">
        <v>625</v>
      </c>
      <c r="S667" s="206" t="s">
        <v>2012</v>
      </c>
      <c r="T667" s="199"/>
      <c r="U667" s="201"/>
      <c r="V667" s="201"/>
      <c r="W667" s="201"/>
      <c r="X667" s="201"/>
      <c r="Y667" s="201"/>
      <c r="Z667" s="202" t="str">
        <f t="shared" si="0"/>
        <v>RLOM Sensors</v>
      </c>
      <c r="AA667" s="174"/>
      <c r="AB667" s="147"/>
      <c r="AC667" s="147"/>
      <c r="AD667" s="147"/>
      <c r="AE667" s="147"/>
      <c r="AF667" s="147"/>
      <c r="AG667" s="147"/>
      <c r="AH667" s="147"/>
      <c r="AI667" s="147"/>
      <c r="AJ667" s="147"/>
      <c r="AK667" s="147"/>
      <c r="AL667" s="147"/>
      <c r="AM667" s="147"/>
      <c r="AN667" s="147"/>
    </row>
    <row r="668" spans="1:40" ht="48" customHeight="1">
      <c r="A668" s="239">
        <v>5</v>
      </c>
      <c r="B668" s="239" t="s">
        <v>1676</v>
      </c>
      <c r="C668" s="239">
        <v>54</v>
      </c>
      <c r="D668" s="193" t="s">
        <v>1960</v>
      </c>
      <c r="E668" s="193">
        <v>542</v>
      </c>
      <c r="F668" s="193" t="s">
        <v>1961</v>
      </c>
      <c r="G668" s="193" t="s">
        <v>1962</v>
      </c>
      <c r="H668" s="212" t="str">
        <f>HYPERLINK("http://bsdd.buildingsmart.org/#concept/details/3FiqyICHP9$9IGT7bw1XJF","3FiqyICHP9$9IGT7bw1XJF")</f>
        <v>3FiqyICHP9$9IGT7bw1XJF</v>
      </c>
      <c r="I668" s="123" t="s">
        <v>5171</v>
      </c>
      <c r="J668" s="195" t="s">
        <v>4586</v>
      </c>
      <c r="K668" s="191" t="s">
        <v>2100</v>
      </c>
      <c r="L668" s="248" t="s">
        <v>4587</v>
      </c>
      <c r="M668" s="210" t="s">
        <v>2102</v>
      </c>
      <c r="N668" s="203" t="s">
        <v>1586</v>
      </c>
      <c r="O668" s="203" t="s">
        <v>2008</v>
      </c>
      <c r="P668" s="191" t="s">
        <v>1588</v>
      </c>
      <c r="Q668" s="192" t="s">
        <v>559</v>
      </c>
      <c r="R668" s="192" t="s">
        <v>625</v>
      </c>
      <c r="S668" s="206" t="s">
        <v>2012</v>
      </c>
      <c r="T668" s="199"/>
      <c r="U668" s="201"/>
      <c r="V668" s="201"/>
      <c r="W668" s="201"/>
      <c r="X668" s="201"/>
      <c r="Y668" s="201"/>
      <c r="Z668" s="202" t="str">
        <f t="shared" si="0"/>
        <v>RLOM Sensors</v>
      </c>
      <c r="AA668" s="174"/>
      <c r="AB668" s="147"/>
      <c r="AC668" s="147"/>
      <c r="AD668" s="147"/>
      <c r="AE668" s="147"/>
      <c r="AF668" s="147"/>
      <c r="AG668" s="147"/>
      <c r="AH668" s="147"/>
      <c r="AI668" s="147"/>
      <c r="AJ668" s="147"/>
      <c r="AK668" s="147"/>
      <c r="AL668" s="147"/>
      <c r="AM668" s="147"/>
      <c r="AN668" s="147"/>
    </row>
    <row r="669" spans="1:40" ht="21.75" customHeight="1">
      <c r="A669" s="239">
        <v>5</v>
      </c>
      <c r="B669" s="239" t="s">
        <v>1676</v>
      </c>
      <c r="C669" s="239">
        <v>54</v>
      </c>
      <c r="D669" s="193" t="s">
        <v>1960</v>
      </c>
      <c r="E669" s="193">
        <v>542</v>
      </c>
      <c r="F669" s="193" t="s">
        <v>1961</v>
      </c>
      <c r="G669" s="193" t="s">
        <v>1962</v>
      </c>
      <c r="H669" s="212" t="str">
        <f>HYPERLINK("http://bsdd.buildingsmart.org/#concept/details/2K0NNdRk97Q9hktGuoxt8p","2K0NNdRk97Q9hktGuoxt8p")</f>
        <v>2K0NNdRk97Q9hktGuoxt8p</v>
      </c>
      <c r="I669" s="123" t="s">
        <v>5172</v>
      </c>
      <c r="J669" s="195" t="s">
        <v>4588</v>
      </c>
      <c r="K669" s="191" t="s">
        <v>2110</v>
      </c>
      <c r="L669" s="248" t="s">
        <v>4589</v>
      </c>
      <c r="M669" s="210" t="s">
        <v>2112</v>
      </c>
      <c r="N669" s="203" t="s">
        <v>1586</v>
      </c>
      <c r="O669" s="203" t="s">
        <v>2008</v>
      </c>
      <c r="P669" s="191" t="s">
        <v>1588</v>
      </c>
      <c r="Q669" s="192" t="s">
        <v>559</v>
      </c>
      <c r="R669" s="192" t="s">
        <v>625</v>
      </c>
      <c r="S669" s="206" t="s">
        <v>2012</v>
      </c>
      <c r="T669" s="199"/>
      <c r="U669" s="201"/>
      <c r="V669" s="201"/>
      <c r="W669" s="201"/>
      <c r="X669" s="201"/>
      <c r="Y669" s="201"/>
      <c r="Z669" s="202" t="str">
        <f t="shared" si="0"/>
        <v>RLOM Sensors</v>
      </c>
      <c r="AA669" s="174"/>
      <c r="AB669" s="147"/>
      <c r="AC669" s="147"/>
      <c r="AD669" s="147"/>
      <c r="AE669" s="147"/>
      <c r="AF669" s="147"/>
      <c r="AG669" s="147"/>
      <c r="AH669" s="147"/>
      <c r="AI669" s="147"/>
      <c r="AJ669" s="147"/>
      <c r="AK669" s="147"/>
      <c r="AL669" s="147"/>
      <c r="AM669" s="147"/>
      <c r="AN669" s="147"/>
    </row>
    <row r="670" spans="1:40" ht="48" customHeight="1">
      <c r="A670" s="239">
        <v>5</v>
      </c>
      <c r="B670" s="239" t="s">
        <v>1676</v>
      </c>
      <c r="C670" s="239">
        <v>54</v>
      </c>
      <c r="D670" s="193" t="s">
        <v>1960</v>
      </c>
      <c r="E670" s="193">
        <v>542</v>
      </c>
      <c r="F670" s="193" t="s">
        <v>1961</v>
      </c>
      <c r="G670" s="193" t="s">
        <v>1962</v>
      </c>
      <c r="H670" s="212" t="str">
        <f>HYPERLINK("http://bsdd.buildingsmart.org/#concept/details/3NNQRKTtb60QxEfNIN2Idb","3NNQRKTtb60QxEfNIN2Idb")</f>
        <v>3NNQRKTtb60QxEfNIN2Idb</v>
      </c>
      <c r="I670" s="123" t="s">
        <v>2117</v>
      </c>
      <c r="J670" s="195" t="s">
        <v>4590</v>
      </c>
      <c r="K670" s="191" t="s">
        <v>2119</v>
      </c>
      <c r="L670" s="248" t="s">
        <v>4591</v>
      </c>
      <c r="M670" s="210" t="s">
        <v>2126</v>
      </c>
      <c r="N670" s="203" t="s">
        <v>1586</v>
      </c>
      <c r="O670" s="203" t="s">
        <v>2008</v>
      </c>
      <c r="P670" s="191" t="s">
        <v>1588</v>
      </c>
      <c r="Q670" s="192" t="s">
        <v>559</v>
      </c>
      <c r="R670" s="192" t="s">
        <v>625</v>
      </c>
      <c r="S670" s="206" t="s">
        <v>2012</v>
      </c>
      <c r="T670" s="199"/>
      <c r="U670" s="201"/>
      <c r="V670" s="201"/>
      <c r="W670" s="201"/>
      <c r="X670" s="201"/>
      <c r="Y670" s="201"/>
      <c r="Z670" s="202" t="str">
        <f t="shared" si="0"/>
        <v>RLOM Sensors</v>
      </c>
      <c r="AA670" s="174"/>
      <c r="AB670" s="147"/>
      <c r="AC670" s="147"/>
      <c r="AD670" s="147"/>
      <c r="AE670" s="147"/>
      <c r="AF670" s="147"/>
      <c r="AG670" s="147"/>
      <c r="AH670" s="147"/>
      <c r="AI670" s="147"/>
      <c r="AJ670" s="147"/>
      <c r="AK670" s="147"/>
      <c r="AL670" s="147"/>
      <c r="AM670" s="147"/>
      <c r="AN670" s="147"/>
    </row>
    <row r="671" spans="1:40" ht="48" customHeight="1">
      <c r="A671" s="239">
        <v>5</v>
      </c>
      <c r="B671" s="239" t="s">
        <v>1676</v>
      </c>
      <c r="C671" s="239">
        <v>54</v>
      </c>
      <c r="D671" s="193" t="s">
        <v>1960</v>
      </c>
      <c r="E671" s="193">
        <v>542</v>
      </c>
      <c r="F671" s="193" t="s">
        <v>1961</v>
      </c>
      <c r="G671" s="193" t="s">
        <v>1962</v>
      </c>
      <c r="H671" s="212" t="str">
        <f>HYPERLINK("http://bsdd.buildingsmart.org/#concept/details/3YmHtCLknBvBJYG3Kaf4nL","3YmHtCLknBvBJYG3Kaf4nL")</f>
        <v>3YmHtCLknBvBJYG3Kaf4nL</v>
      </c>
      <c r="I671" s="123" t="s">
        <v>5173</v>
      </c>
      <c r="J671" s="195" t="s">
        <v>4592</v>
      </c>
      <c r="K671" s="191" t="s">
        <v>2132</v>
      </c>
      <c r="L671" s="248" t="s">
        <v>4593</v>
      </c>
      <c r="M671" s="210" t="s">
        <v>2134</v>
      </c>
      <c r="N671" s="203" t="s">
        <v>1586</v>
      </c>
      <c r="O671" s="203" t="s">
        <v>2008</v>
      </c>
      <c r="P671" s="191" t="s">
        <v>1588</v>
      </c>
      <c r="Q671" s="192" t="s">
        <v>559</v>
      </c>
      <c r="R671" s="192" t="s">
        <v>625</v>
      </c>
      <c r="S671" s="206" t="s">
        <v>2012</v>
      </c>
      <c r="T671" s="199"/>
      <c r="U671" s="201"/>
      <c r="V671" s="201"/>
      <c r="W671" s="201"/>
      <c r="X671" s="201"/>
      <c r="Y671" s="201"/>
      <c r="Z671" s="202" t="str">
        <f t="shared" si="0"/>
        <v>RLOM Sensors</v>
      </c>
      <c r="AA671" s="174"/>
      <c r="AB671" s="147"/>
      <c r="AC671" s="147"/>
      <c r="AD671" s="147"/>
      <c r="AE671" s="147"/>
      <c r="AF671" s="147"/>
      <c r="AG671" s="147"/>
      <c r="AH671" s="147"/>
      <c r="AI671" s="147"/>
      <c r="AJ671" s="147"/>
      <c r="AK671" s="147"/>
      <c r="AL671" s="147"/>
      <c r="AM671" s="147"/>
      <c r="AN671" s="147"/>
    </row>
    <row r="672" spans="1:40" ht="72" customHeight="1">
      <c r="A672" s="239">
        <v>5</v>
      </c>
      <c r="B672" s="239" t="s">
        <v>1676</v>
      </c>
      <c r="C672" s="239">
        <v>54</v>
      </c>
      <c r="D672" s="193" t="s">
        <v>1960</v>
      </c>
      <c r="E672" s="193">
        <v>542</v>
      </c>
      <c r="F672" s="193" t="s">
        <v>1961</v>
      </c>
      <c r="G672" s="193" t="s">
        <v>1962</v>
      </c>
      <c r="H672" s="212" t="str">
        <f>HYPERLINK("http://bsdd.buildingsmart.org/#concept/details/3R2AS0fTvF_xhhlhE4fEHB","3R2AS0fTvF_xhhlhE4fEHB")</f>
        <v>3R2AS0fTvF_xhhlhE4fEHB</v>
      </c>
      <c r="I672" s="123" t="s">
        <v>5174</v>
      </c>
      <c r="J672" s="195" t="s">
        <v>4594</v>
      </c>
      <c r="K672" s="191" t="s">
        <v>2138</v>
      </c>
      <c r="L672" s="248" t="s">
        <v>4595</v>
      </c>
      <c r="M672" s="210" t="s">
        <v>2142</v>
      </c>
      <c r="N672" s="203" t="s">
        <v>1586</v>
      </c>
      <c r="O672" s="203" t="s">
        <v>2008</v>
      </c>
      <c r="P672" s="191" t="s">
        <v>1588</v>
      </c>
      <c r="Q672" s="192" t="s">
        <v>559</v>
      </c>
      <c r="R672" s="192" t="s">
        <v>625</v>
      </c>
      <c r="S672" s="206" t="s">
        <v>2012</v>
      </c>
      <c r="T672" s="199"/>
      <c r="U672" s="201"/>
      <c r="V672" s="201"/>
      <c r="W672" s="201"/>
      <c r="X672" s="201"/>
      <c r="Y672" s="201"/>
      <c r="Z672" s="202" t="str">
        <f t="shared" si="0"/>
        <v>RLOM Sensors</v>
      </c>
      <c r="AA672" s="174"/>
      <c r="AB672" s="147"/>
      <c r="AC672" s="147"/>
      <c r="AD672" s="147"/>
      <c r="AE672" s="147"/>
      <c r="AF672" s="147"/>
      <c r="AG672" s="147"/>
      <c r="AH672" s="147"/>
      <c r="AI672" s="147"/>
      <c r="AJ672" s="147"/>
      <c r="AK672" s="147"/>
      <c r="AL672" s="147"/>
      <c r="AM672" s="147"/>
      <c r="AN672" s="147"/>
    </row>
    <row r="673" spans="1:40" ht="27" customHeight="1">
      <c r="A673" s="239">
        <v>5</v>
      </c>
      <c r="B673" s="239" t="s">
        <v>1676</v>
      </c>
      <c r="C673" s="239">
        <v>54</v>
      </c>
      <c r="D673" s="193" t="s">
        <v>1960</v>
      </c>
      <c r="E673" s="193">
        <v>542</v>
      </c>
      <c r="F673" s="193" t="s">
        <v>1961</v>
      </c>
      <c r="G673" s="193" t="s">
        <v>1962</v>
      </c>
      <c r="H673" s="212" t="str">
        <f>HYPERLINK("http://bsdd.buildingsmart.org/#concept/details/1d4JHr4Yr5mfkVMaoQvHNH","1d4JHr4Yr5mfkVMaoQvHNH")</f>
        <v>1d4JHr4Yr5mfkVMaoQvHNH</v>
      </c>
      <c r="I673" s="123" t="s">
        <v>5175</v>
      </c>
      <c r="J673" s="195" t="s">
        <v>4596</v>
      </c>
      <c r="K673" s="191" t="s">
        <v>2147</v>
      </c>
      <c r="L673" s="248" t="s">
        <v>4597</v>
      </c>
      <c r="M673" s="210" t="s">
        <v>2149</v>
      </c>
      <c r="N673" s="203" t="s">
        <v>1586</v>
      </c>
      <c r="O673" s="203" t="s">
        <v>2008</v>
      </c>
      <c r="P673" s="191" t="s">
        <v>1588</v>
      </c>
      <c r="Q673" s="192" t="s">
        <v>559</v>
      </c>
      <c r="R673" s="192" t="s">
        <v>625</v>
      </c>
      <c r="S673" s="206" t="s">
        <v>2012</v>
      </c>
      <c r="T673" s="199"/>
      <c r="U673" s="201"/>
      <c r="V673" s="201"/>
      <c r="W673" s="201"/>
      <c r="X673" s="201"/>
      <c r="Y673" s="201"/>
      <c r="Z673" s="202" t="str">
        <f t="shared" si="0"/>
        <v>RLOM Sensors</v>
      </c>
      <c r="AA673" s="174"/>
      <c r="AB673" s="147"/>
      <c r="AC673" s="147"/>
      <c r="AD673" s="147"/>
      <c r="AE673" s="147"/>
      <c r="AF673" s="147"/>
      <c r="AG673" s="147"/>
      <c r="AH673" s="147"/>
      <c r="AI673" s="147"/>
      <c r="AJ673" s="147"/>
      <c r="AK673" s="147"/>
      <c r="AL673" s="147"/>
      <c r="AM673" s="147"/>
      <c r="AN673" s="147"/>
    </row>
    <row r="674" spans="1:40" ht="48" customHeight="1">
      <c r="A674" s="239">
        <v>5</v>
      </c>
      <c r="B674" s="239" t="s">
        <v>1676</v>
      </c>
      <c r="C674" s="239">
        <v>54</v>
      </c>
      <c r="D674" s="193" t="s">
        <v>1960</v>
      </c>
      <c r="E674" s="193">
        <v>542</v>
      </c>
      <c r="F674" s="193" t="s">
        <v>1961</v>
      </c>
      <c r="G674" s="193" t="s">
        <v>1962</v>
      </c>
      <c r="H674" s="212" t="str">
        <f>HYPERLINK("http://bsdd.buildingsmart.org/#concept/details/1MpUBW8WT0jQOWeI_Xqz1b","1MpUBW8WT0jQOWeI_Xqz1b")</f>
        <v>1MpUBW8WT0jQOWeI_Xqz1b</v>
      </c>
      <c r="I674" s="123" t="s">
        <v>5176</v>
      </c>
      <c r="J674" s="195" t="s">
        <v>4598</v>
      </c>
      <c r="K674" s="191" t="s">
        <v>2158</v>
      </c>
      <c r="L674" s="248" t="s">
        <v>4599</v>
      </c>
      <c r="M674" s="210" t="s">
        <v>2161</v>
      </c>
      <c r="N674" s="203" t="s">
        <v>1586</v>
      </c>
      <c r="O674" s="203" t="s">
        <v>2008</v>
      </c>
      <c r="P674" s="191" t="s">
        <v>1588</v>
      </c>
      <c r="Q674" s="192" t="s">
        <v>559</v>
      </c>
      <c r="R674" s="192" t="s">
        <v>625</v>
      </c>
      <c r="S674" s="206" t="s">
        <v>2012</v>
      </c>
      <c r="T674" s="199"/>
      <c r="U674" s="201"/>
      <c r="V674" s="201"/>
      <c r="W674" s="201"/>
      <c r="X674" s="201"/>
      <c r="Y674" s="201"/>
      <c r="Z674" s="202" t="str">
        <f t="shared" si="0"/>
        <v>RLOM Sensors</v>
      </c>
      <c r="AA674" s="174"/>
      <c r="AB674" s="147"/>
      <c r="AC674" s="147"/>
      <c r="AD674" s="147"/>
      <c r="AE674" s="147"/>
      <c r="AF674" s="147"/>
      <c r="AG674" s="147"/>
      <c r="AH674" s="147"/>
      <c r="AI674" s="147"/>
      <c r="AJ674" s="147"/>
      <c r="AK674" s="147"/>
      <c r="AL674" s="147"/>
      <c r="AM674" s="147"/>
      <c r="AN674" s="147"/>
    </row>
    <row r="675" spans="1:40" ht="27" customHeight="1">
      <c r="A675" s="239">
        <v>5</v>
      </c>
      <c r="B675" s="239" t="s">
        <v>1676</v>
      </c>
      <c r="C675" s="239">
        <v>54</v>
      </c>
      <c r="D675" s="193" t="s">
        <v>1960</v>
      </c>
      <c r="E675" s="193">
        <v>542</v>
      </c>
      <c r="F675" s="193" t="s">
        <v>1961</v>
      </c>
      <c r="G675" s="193" t="s">
        <v>1962</v>
      </c>
      <c r="H675" s="212" t="str">
        <f>HYPERLINK("http://bsdd.buildingsmart.org/#concept/details/007$uM9ZT4IBUj$PXeD$Bz","007$uM9ZT4IBUj$PXeD$Bz")</f>
        <v>007$uM9ZT4IBUj$PXeD$Bz</v>
      </c>
      <c r="I675" s="123" t="s">
        <v>5177</v>
      </c>
      <c r="J675" s="195" t="s">
        <v>4600</v>
      </c>
      <c r="K675" s="191" t="s">
        <v>2176</v>
      </c>
      <c r="L675" s="248" t="s">
        <v>4601</v>
      </c>
      <c r="M675" s="210" t="s">
        <v>2180</v>
      </c>
      <c r="N675" s="203" t="s">
        <v>1586</v>
      </c>
      <c r="O675" s="203" t="s">
        <v>2008</v>
      </c>
      <c r="P675" s="191" t="s">
        <v>1588</v>
      </c>
      <c r="Q675" s="192" t="s">
        <v>559</v>
      </c>
      <c r="R675" s="192" t="s">
        <v>625</v>
      </c>
      <c r="S675" s="206" t="s">
        <v>2012</v>
      </c>
      <c r="T675" s="199"/>
      <c r="U675" s="201"/>
      <c r="V675" s="201"/>
      <c r="W675" s="201"/>
      <c r="X675" s="201"/>
      <c r="Y675" s="201"/>
      <c r="Z675" s="202" t="str">
        <f t="shared" si="0"/>
        <v>RLOM Sensors</v>
      </c>
      <c r="AA675" s="174"/>
      <c r="AB675" s="147"/>
      <c r="AC675" s="147"/>
      <c r="AD675" s="147"/>
      <c r="AE675" s="147"/>
      <c r="AF675" s="147"/>
      <c r="AG675" s="147"/>
      <c r="AH675" s="147"/>
      <c r="AI675" s="147"/>
      <c r="AJ675" s="147"/>
      <c r="AK675" s="147"/>
      <c r="AL675" s="147"/>
      <c r="AM675" s="147"/>
      <c r="AN675" s="147"/>
    </row>
    <row r="676" spans="1:40" ht="45" customHeight="1">
      <c r="A676" s="239">
        <v>5</v>
      </c>
      <c r="B676" s="239" t="s">
        <v>1676</v>
      </c>
      <c r="C676" s="239">
        <v>54</v>
      </c>
      <c r="D676" s="193" t="s">
        <v>1960</v>
      </c>
      <c r="E676" s="193">
        <v>542</v>
      </c>
      <c r="F676" s="193" t="s">
        <v>1961</v>
      </c>
      <c r="G676" s="193" t="s">
        <v>1962</v>
      </c>
      <c r="H676" s="212" t="str">
        <f>HYPERLINK("http://bsdd.buildingsmart.org/#concept/details/0e9kVRwUnFJPocdBOiQ3MK","0e9kVRwUnFJPocdBOiQ3MK")</f>
        <v>0e9kVRwUnFJPocdBOiQ3MK</v>
      </c>
      <c r="I676" s="123" t="s">
        <v>2187</v>
      </c>
      <c r="J676" s="195" t="s">
        <v>4602</v>
      </c>
      <c r="K676" s="191" t="s">
        <v>2188</v>
      </c>
      <c r="L676" s="248" t="s">
        <v>4603</v>
      </c>
      <c r="M676" s="210" t="s">
        <v>2190</v>
      </c>
      <c r="N676" s="203" t="s">
        <v>1551</v>
      </c>
      <c r="O676" s="203" t="s">
        <v>1552</v>
      </c>
      <c r="P676" s="191" t="s">
        <v>1553</v>
      </c>
      <c r="Q676" s="192" t="s">
        <v>1240</v>
      </c>
      <c r="R676" s="192" t="s">
        <v>1241</v>
      </c>
      <c r="S676" s="206" t="s">
        <v>1576</v>
      </c>
      <c r="T676" s="199"/>
      <c r="U676" s="201"/>
      <c r="V676" s="201"/>
      <c r="W676" s="201"/>
      <c r="X676" s="201"/>
      <c r="Y676" s="201"/>
      <c r="Z676" s="202" t="str">
        <f t="shared" si="0"/>
        <v>RLOM UnitaryControlElements</v>
      </c>
      <c r="AA676" s="174"/>
      <c r="AB676" s="147"/>
      <c r="AC676" s="147"/>
      <c r="AD676" s="147"/>
      <c r="AE676" s="147"/>
      <c r="AF676" s="147"/>
      <c r="AG676" s="147"/>
      <c r="AH676" s="147"/>
      <c r="AI676" s="147"/>
      <c r="AJ676" s="147"/>
      <c r="AK676" s="147"/>
      <c r="AL676" s="147"/>
      <c r="AM676" s="147"/>
      <c r="AN676" s="147"/>
    </row>
    <row r="677" spans="1:40" ht="36" customHeight="1">
      <c r="A677" s="239">
        <v>5</v>
      </c>
      <c r="B677" s="239" t="s">
        <v>1676</v>
      </c>
      <c r="C677" s="239">
        <v>54</v>
      </c>
      <c r="D677" s="193" t="s">
        <v>1960</v>
      </c>
      <c r="E677" s="193">
        <v>542</v>
      </c>
      <c r="F677" s="193" t="s">
        <v>1961</v>
      </c>
      <c r="G677" s="193" t="s">
        <v>1962</v>
      </c>
      <c r="H677" s="212" t="str">
        <f>HYPERLINK("http://bsdd.buildingsmart.org/#concept/details/3vHW2soT0Hsm00051Mm008","3vHW2soT0Hsm00051Mm008")</f>
        <v>3vHW2soT0Hsm00051Mm008</v>
      </c>
      <c r="I677" s="123" t="s">
        <v>2220</v>
      </c>
      <c r="J677" s="195" t="s">
        <v>4604</v>
      </c>
      <c r="K677" s="191" t="s">
        <v>2221</v>
      </c>
      <c r="L677" s="248" t="s">
        <v>4605</v>
      </c>
      <c r="M677" s="210"/>
      <c r="N677" s="203" t="s">
        <v>1829</v>
      </c>
      <c r="O677" s="203" t="s">
        <v>2223</v>
      </c>
      <c r="P677" s="191" t="s">
        <v>2224</v>
      </c>
      <c r="Q677" s="192" t="s">
        <v>2225</v>
      </c>
      <c r="R677" s="192" t="s">
        <v>2227</v>
      </c>
      <c r="S677" s="206" t="s">
        <v>2229</v>
      </c>
      <c r="T677" s="199"/>
      <c r="U677" s="201"/>
      <c r="V677" s="201"/>
      <c r="W677" s="201"/>
      <c r="X677" s="201"/>
      <c r="Y677" s="201"/>
      <c r="Z677" s="202" t="str">
        <f t="shared" si="0"/>
        <v>RLOM Actuators</v>
      </c>
      <c r="AA677" s="174"/>
      <c r="AB677" s="147"/>
      <c r="AC677" s="147"/>
      <c r="AD677" s="147"/>
      <c r="AE677" s="147"/>
      <c r="AF677" s="147"/>
      <c r="AG677" s="147"/>
      <c r="AH677" s="147"/>
      <c r="AI677" s="147"/>
      <c r="AJ677" s="147"/>
      <c r="AK677" s="147"/>
      <c r="AL677" s="147"/>
      <c r="AM677" s="147"/>
      <c r="AN677" s="147"/>
    </row>
    <row r="678" spans="1:40" ht="36" customHeight="1">
      <c r="A678" s="239">
        <v>5</v>
      </c>
      <c r="B678" s="239" t="s">
        <v>1676</v>
      </c>
      <c r="C678" s="239">
        <v>54</v>
      </c>
      <c r="D678" s="193" t="s">
        <v>1960</v>
      </c>
      <c r="E678" s="193">
        <v>542</v>
      </c>
      <c r="F678" s="193" t="s">
        <v>1961</v>
      </c>
      <c r="G678" s="193" t="s">
        <v>1962</v>
      </c>
      <c r="H678" s="212" t="str">
        <f>HYPERLINK("http://bsdd.buildingsmart.org/#concept/details/3Y3gOkbIP6xQen11m7yLts","3Y3gOkbIP6xQen11m7yLts")</f>
        <v>3Y3gOkbIP6xQen11m7yLts</v>
      </c>
      <c r="I678" s="123" t="s">
        <v>2231</v>
      </c>
      <c r="J678" s="195" t="s">
        <v>4606</v>
      </c>
      <c r="K678" s="191"/>
      <c r="L678" s="248" t="s">
        <v>4607</v>
      </c>
      <c r="M678" s="210"/>
      <c r="N678" s="203" t="s">
        <v>1829</v>
      </c>
      <c r="O678" s="203" t="s">
        <v>2223</v>
      </c>
      <c r="P678" s="191" t="s">
        <v>2224</v>
      </c>
      <c r="Q678" s="192" t="s">
        <v>2225</v>
      </c>
      <c r="R678" s="192" t="s">
        <v>2227</v>
      </c>
      <c r="S678" s="206" t="s">
        <v>2241</v>
      </c>
      <c r="T678" s="199" t="s">
        <v>2242</v>
      </c>
      <c r="U678" s="201"/>
      <c r="V678" s="201"/>
      <c r="W678" s="201"/>
      <c r="X678" s="201"/>
      <c r="Y678" s="201"/>
      <c r="Z678" s="202" t="str">
        <f t="shared" si="0"/>
        <v>RLOM Actuators</v>
      </c>
      <c r="AA678" s="174"/>
      <c r="AB678" s="147"/>
      <c r="AC678" s="147"/>
      <c r="AD678" s="147"/>
      <c r="AE678" s="147"/>
      <c r="AF678" s="147"/>
      <c r="AG678" s="147"/>
      <c r="AH678" s="147"/>
      <c r="AI678" s="147"/>
      <c r="AJ678" s="147"/>
      <c r="AK678" s="147"/>
      <c r="AL678" s="147"/>
      <c r="AM678" s="147"/>
      <c r="AN678" s="147"/>
    </row>
    <row r="679" spans="1:40" ht="18" customHeight="1">
      <c r="A679" s="239">
        <v>5</v>
      </c>
      <c r="B679" s="239" t="s">
        <v>1676</v>
      </c>
      <c r="C679" s="239">
        <v>54</v>
      </c>
      <c r="D679" s="193" t="s">
        <v>1960</v>
      </c>
      <c r="E679" s="193">
        <v>542</v>
      </c>
      <c r="F679" s="193" t="s">
        <v>1961</v>
      </c>
      <c r="G679" s="193" t="s">
        <v>1962</v>
      </c>
      <c r="H679" s="212" t="str">
        <f>HYPERLINK("http://bsdd.buildingsmart.org/#concept/details/3vHTXcoT0Hsm00051Mm008","3vHTXcoT0Hsm00051Mm008")</f>
        <v>3vHTXcoT0Hsm00051Mm008</v>
      </c>
      <c r="I679" s="123" t="s">
        <v>2256</v>
      </c>
      <c r="J679" s="195" t="s">
        <v>4608</v>
      </c>
      <c r="K679" s="191" t="s">
        <v>2257</v>
      </c>
      <c r="L679" s="248" t="s">
        <v>4609</v>
      </c>
      <c r="M679" s="210" t="s">
        <v>2259</v>
      </c>
      <c r="N679" s="203" t="s">
        <v>2260</v>
      </c>
      <c r="O679" s="203" t="s">
        <v>2256</v>
      </c>
      <c r="P679" s="191" t="s">
        <v>2265</v>
      </c>
      <c r="Q679" s="192" t="s">
        <v>559</v>
      </c>
      <c r="R679" s="192" t="s">
        <v>625</v>
      </c>
      <c r="S679" s="206" t="s">
        <v>2267</v>
      </c>
      <c r="T679" s="199"/>
      <c r="U679" s="201"/>
      <c r="V679" s="201"/>
      <c r="W679" s="201"/>
      <c r="X679" s="201"/>
      <c r="Y679" s="201"/>
      <c r="Z679" s="202" t="str">
        <f t="shared" si="0"/>
        <v>RLOM Sensors</v>
      </c>
      <c r="AA679" s="174"/>
      <c r="AB679" s="147"/>
      <c r="AC679" s="147"/>
      <c r="AD679" s="147"/>
      <c r="AE679" s="147"/>
      <c r="AF679" s="147"/>
      <c r="AG679" s="147"/>
      <c r="AH679" s="147"/>
      <c r="AI679" s="147"/>
      <c r="AJ679" s="147"/>
      <c r="AK679" s="147"/>
      <c r="AL679" s="147"/>
      <c r="AM679" s="147"/>
      <c r="AN679" s="147"/>
    </row>
    <row r="680" spans="1:40" ht="60" customHeight="1">
      <c r="A680" s="239">
        <v>5</v>
      </c>
      <c r="B680" s="239" t="s">
        <v>1676</v>
      </c>
      <c r="C680" s="239">
        <v>54</v>
      </c>
      <c r="D680" s="193" t="s">
        <v>1960</v>
      </c>
      <c r="E680" s="193">
        <v>542</v>
      </c>
      <c r="F680" s="193" t="s">
        <v>1961</v>
      </c>
      <c r="G680" s="193" t="s">
        <v>1962</v>
      </c>
      <c r="H680" s="212" t="str">
        <f>HYPERLINK("http://bsdd.buildingsmart.org/#concept/details/2lgqohOiD36uoei8sYLtU7","2lgqohOiD36uoei8sYLtU7")</f>
        <v>2lgqohOiD36uoei8sYLtU7</v>
      </c>
      <c r="I680" s="123" t="s">
        <v>2269</v>
      </c>
      <c r="J680" s="195" t="s">
        <v>4610</v>
      </c>
      <c r="K680" s="191"/>
      <c r="L680" s="248" t="s">
        <v>4611</v>
      </c>
      <c r="M680" s="210"/>
      <c r="N680" s="203" t="s">
        <v>1829</v>
      </c>
      <c r="O680" s="203" t="s">
        <v>2223</v>
      </c>
      <c r="P680" s="191" t="s">
        <v>2224</v>
      </c>
      <c r="Q680" s="192" t="s">
        <v>2225</v>
      </c>
      <c r="R680" s="192" t="s">
        <v>2227</v>
      </c>
      <c r="S680" s="206" t="s">
        <v>2273</v>
      </c>
      <c r="T680" s="199"/>
      <c r="U680" s="201"/>
      <c r="V680" s="201"/>
      <c r="W680" s="201"/>
      <c r="X680" s="201"/>
      <c r="Y680" s="201"/>
      <c r="Z680" s="202" t="str">
        <f t="shared" si="0"/>
        <v>RLOM Actuators</v>
      </c>
      <c r="AA680" s="174"/>
      <c r="AB680" s="147"/>
      <c r="AC680" s="147"/>
      <c r="AD680" s="147"/>
      <c r="AE680" s="147"/>
      <c r="AF680" s="147"/>
      <c r="AG680" s="147"/>
      <c r="AH680" s="147"/>
      <c r="AI680" s="147"/>
      <c r="AJ680" s="147"/>
      <c r="AK680" s="147"/>
      <c r="AL680" s="147"/>
      <c r="AM680" s="147"/>
      <c r="AN680" s="147"/>
    </row>
    <row r="681" spans="1:40" ht="48" customHeight="1">
      <c r="A681" s="239">
        <v>5</v>
      </c>
      <c r="B681" s="239" t="s">
        <v>1676</v>
      </c>
      <c r="C681" s="239">
        <v>54</v>
      </c>
      <c r="D681" s="193" t="s">
        <v>1960</v>
      </c>
      <c r="E681" s="193">
        <v>542</v>
      </c>
      <c r="F681" s="193" t="s">
        <v>1961</v>
      </c>
      <c r="G681" s="193" t="s">
        <v>1962</v>
      </c>
      <c r="H681" s="212" t="str">
        <f>HYPERLINK("http://bsdd.buildingsmart.org/#concept/details/1WOuxeq4z7PATmXTqh_rJL","1WOuxeq4z7PATmXTqh_rJL")</f>
        <v>1WOuxeq4z7PATmXTqh_rJL</v>
      </c>
      <c r="I681" s="123" t="s">
        <v>5178</v>
      </c>
      <c r="J681" s="195" t="s">
        <v>4612</v>
      </c>
      <c r="K681" s="191" t="s">
        <v>2280</v>
      </c>
      <c r="L681" s="248" t="s">
        <v>4613</v>
      </c>
      <c r="M681" s="210"/>
      <c r="N681" s="203" t="s">
        <v>1829</v>
      </c>
      <c r="O681" s="203" t="s">
        <v>2223</v>
      </c>
      <c r="P681" s="191" t="s">
        <v>2224</v>
      </c>
      <c r="Q681" s="192" t="s">
        <v>2225</v>
      </c>
      <c r="R681" s="192" t="s">
        <v>2227</v>
      </c>
      <c r="S681" s="206" t="s">
        <v>2273</v>
      </c>
      <c r="T681" s="199"/>
      <c r="U681" s="201"/>
      <c r="V681" s="201"/>
      <c r="W681" s="201"/>
      <c r="X681" s="201"/>
      <c r="Y681" s="201"/>
      <c r="Z681" s="202" t="str">
        <f t="shared" si="0"/>
        <v>RLOM Actuators</v>
      </c>
      <c r="AA681" s="174"/>
      <c r="AB681" s="147"/>
      <c r="AC681" s="147"/>
      <c r="AD681" s="147"/>
      <c r="AE681" s="147"/>
      <c r="AF681" s="147"/>
      <c r="AG681" s="147"/>
      <c r="AH681" s="147"/>
      <c r="AI681" s="147"/>
      <c r="AJ681" s="147"/>
      <c r="AK681" s="147"/>
      <c r="AL681" s="147"/>
      <c r="AM681" s="147"/>
      <c r="AN681" s="147"/>
    </row>
    <row r="682" spans="1:40" ht="27" customHeight="1">
      <c r="A682" s="239">
        <v>5</v>
      </c>
      <c r="B682" s="239" t="s">
        <v>1676</v>
      </c>
      <c r="C682" s="239">
        <v>54</v>
      </c>
      <c r="D682" s="193" t="s">
        <v>1960</v>
      </c>
      <c r="E682" s="193">
        <v>542</v>
      </c>
      <c r="F682" s="193" t="s">
        <v>1961</v>
      </c>
      <c r="G682" s="193" t="s">
        <v>1962</v>
      </c>
      <c r="H682" s="212" t="str">
        <f>HYPERLINK("http://bsdd.buildingsmart.org/#concept/details/1lPK44y0567vCRQKHKMWXk","1lPK44y0567vCRQKHKMWXk")</f>
        <v>1lPK44y0567vCRQKHKMWXk</v>
      </c>
      <c r="I682" s="123" t="s">
        <v>2288</v>
      </c>
      <c r="J682" s="195" t="s">
        <v>4614</v>
      </c>
      <c r="K682" s="191" t="s">
        <v>2289</v>
      </c>
      <c r="L682" s="248" t="s">
        <v>4615</v>
      </c>
      <c r="M682" s="210"/>
      <c r="N682" s="203" t="s">
        <v>1829</v>
      </c>
      <c r="O682" s="203" t="s">
        <v>2223</v>
      </c>
      <c r="P682" s="191" t="s">
        <v>2224</v>
      </c>
      <c r="Q682" s="192" t="s">
        <v>2225</v>
      </c>
      <c r="R682" s="192" t="s">
        <v>2227</v>
      </c>
      <c r="S682" s="206" t="s">
        <v>2241</v>
      </c>
      <c r="T682" s="199" t="s">
        <v>2298</v>
      </c>
      <c r="U682" s="201"/>
      <c r="V682" s="201"/>
      <c r="W682" s="201"/>
      <c r="X682" s="201"/>
      <c r="Y682" s="201"/>
      <c r="Z682" s="202" t="str">
        <f t="shared" si="0"/>
        <v>RLOM Actuators</v>
      </c>
      <c r="AA682" s="174"/>
      <c r="AB682" s="147"/>
      <c r="AC682" s="147"/>
      <c r="AD682" s="147"/>
      <c r="AE682" s="147"/>
      <c r="AF682" s="147"/>
      <c r="AG682" s="147"/>
      <c r="AH682" s="147"/>
      <c r="AI682" s="147"/>
      <c r="AJ682" s="147"/>
      <c r="AK682" s="147"/>
      <c r="AL682" s="147"/>
      <c r="AM682" s="147"/>
      <c r="AN682" s="147"/>
    </row>
    <row r="683" spans="1:40" ht="36" customHeight="1">
      <c r="A683" s="239">
        <v>5</v>
      </c>
      <c r="B683" s="239" t="s">
        <v>1676</v>
      </c>
      <c r="C683" s="239">
        <v>54</v>
      </c>
      <c r="D683" s="193" t="s">
        <v>1960</v>
      </c>
      <c r="E683" s="193">
        <v>542</v>
      </c>
      <c r="F683" s="193" t="s">
        <v>1961</v>
      </c>
      <c r="G683" s="193" t="s">
        <v>1962</v>
      </c>
      <c r="H683" s="212" t="str">
        <f>HYPERLINK("http://bsdd.buildingsmart.org/#concept/details/05pA4Vkvv8sOL3GxBKYzvf","05pA4Vkvv8sOL3GxBKYzvf")</f>
        <v>05pA4Vkvv8sOL3GxBKYzvf</v>
      </c>
      <c r="I683" s="123" t="s">
        <v>2301</v>
      </c>
      <c r="J683" s="195" t="s">
        <v>4616</v>
      </c>
      <c r="K683" s="191" t="s">
        <v>2302</v>
      </c>
      <c r="L683" s="248" t="s">
        <v>4617</v>
      </c>
      <c r="M683" s="210"/>
      <c r="N683" s="203" t="s">
        <v>1829</v>
      </c>
      <c r="O683" s="203" t="s">
        <v>2223</v>
      </c>
      <c r="P683" s="191" t="s">
        <v>2224</v>
      </c>
      <c r="Q683" s="192" t="s">
        <v>2225</v>
      </c>
      <c r="R683" s="192" t="s">
        <v>2227</v>
      </c>
      <c r="S683" s="206" t="s">
        <v>2241</v>
      </c>
      <c r="T683" s="199" t="s">
        <v>2298</v>
      </c>
      <c r="U683" s="201"/>
      <c r="V683" s="201"/>
      <c r="W683" s="201"/>
      <c r="X683" s="201"/>
      <c r="Y683" s="201"/>
      <c r="Z683" s="202" t="str">
        <f t="shared" si="0"/>
        <v>RLOM Actuators</v>
      </c>
      <c r="AA683" s="174"/>
      <c r="AB683" s="147"/>
      <c r="AC683" s="147"/>
      <c r="AD683" s="147"/>
      <c r="AE683" s="147"/>
      <c r="AF683" s="147"/>
      <c r="AG683" s="147"/>
      <c r="AH683" s="147"/>
      <c r="AI683" s="147"/>
      <c r="AJ683" s="147"/>
      <c r="AK683" s="147"/>
      <c r="AL683" s="147"/>
      <c r="AM683" s="147"/>
      <c r="AN683" s="147"/>
    </row>
    <row r="684" spans="1:40" ht="27" customHeight="1">
      <c r="A684" s="239">
        <v>5</v>
      </c>
      <c r="B684" s="239" t="s">
        <v>1676</v>
      </c>
      <c r="C684" s="239">
        <v>54</v>
      </c>
      <c r="D684" s="193" t="s">
        <v>1960</v>
      </c>
      <c r="E684" s="193">
        <v>542</v>
      </c>
      <c r="F684" s="193" t="s">
        <v>1961</v>
      </c>
      <c r="G684" s="193" t="s">
        <v>1962</v>
      </c>
      <c r="H684" s="212" t="str">
        <f>HYPERLINK("http://bsdd.buildingsmart.org/#concept/details/3vHJgMoT0Hsm00051Mm008","3vHJgMoT0Hsm00051Mm008")</f>
        <v>3vHJgMoT0Hsm00051Mm008</v>
      </c>
      <c r="I684" s="123" t="s">
        <v>2307</v>
      </c>
      <c r="J684" s="195" t="s">
        <v>4618</v>
      </c>
      <c r="K684" s="191"/>
      <c r="L684" s="248" t="s">
        <v>4619</v>
      </c>
      <c r="M684" s="210"/>
      <c r="N684" s="203" t="s">
        <v>1523</v>
      </c>
      <c r="O684" s="203" t="s">
        <v>1524</v>
      </c>
      <c r="P684" s="191" t="s">
        <v>1525</v>
      </c>
      <c r="Q684" s="192" t="s">
        <v>1938</v>
      </c>
      <c r="R684" s="192"/>
      <c r="S684" s="206"/>
      <c r="T684" s="199"/>
      <c r="U684" s="201"/>
      <c r="V684" s="201"/>
      <c r="W684" s="201"/>
      <c r="X684" s="201"/>
      <c r="Y684" s="201"/>
      <c r="Z684" s="202" t="str">
        <f t="shared" si="0"/>
        <v>RLOM Alarms</v>
      </c>
      <c r="AA684" s="174"/>
      <c r="AB684" s="147"/>
      <c r="AC684" s="147"/>
      <c r="AD684" s="147"/>
      <c r="AE684" s="147"/>
      <c r="AF684" s="147"/>
      <c r="AG684" s="147"/>
      <c r="AH684" s="147"/>
      <c r="AI684" s="147"/>
      <c r="AJ684" s="147"/>
      <c r="AK684" s="147"/>
      <c r="AL684" s="147"/>
      <c r="AM684" s="147"/>
      <c r="AN684" s="147"/>
    </row>
    <row r="685" spans="1:40" ht="27" customHeight="1">
      <c r="A685" s="239">
        <v>5</v>
      </c>
      <c r="B685" s="239" t="s">
        <v>1676</v>
      </c>
      <c r="C685" s="239">
        <v>54</v>
      </c>
      <c r="D685" s="193" t="s">
        <v>1960</v>
      </c>
      <c r="E685" s="193">
        <v>542</v>
      </c>
      <c r="F685" s="193" t="s">
        <v>1961</v>
      </c>
      <c r="G685" s="193" t="s">
        <v>1962</v>
      </c>
      <c r="H685" s="212" t="str">
        <f>HYPERLINK("http://bsdd.buildingsmart.org/#concept/details/17z2WmNRvBshyJrqgI_Q6n","17z2WmNRvBshyJrqgI_Q6n")</f>
        <v>17z2WmNRvBshyJrqgI_Q6n</v>
      </c>
      <c r="I685" s="123" t="s">
        <v>5179</v>
      </c>
      <c r="J685" s="195" t="s">
        <v>4620</v>
      </c>
      <c r="K685" s="191" t="s">
        <v>2313</v>
      </c>
      <c r="L685" s="248" t="s">
        <v>4621</v>
      </c>
      <c r="M685" s="210"/>
      <c r="N685" s="203" t="s">
        <v>1523</v>
      </c>
      <c r="O685" s="203" t="s">
        <v>1524</v>
      </c>
      <c r="P685" s="191" t="s">
        <v>1525</v>
      </c>
      <c r="Q685" s="192" t="s">
        <v>1938</v>
      </c>
      <c r="R685" s="192"/>
      <c r="S685" s="206"/>
      <c r="T685" s="199"/>
      <c r="U685" s="201"/>
      <c r="V685" s="201"/>
      <c r="W685" s="201"/>
      <c r="X685" s="201"/>
      <c r="Y685" s="201"/>
      <c r="Z685" s="202" t="str">
        <f t="shared" si="0"/>
        <v>RLOM Alarms</v>
      </c>
      <c r="AA685" s="174"/>
      <c r="AB685" s="147"/>
      <c r="AC685" s="147"/>
      <c r="AD685" s="147"/>
      <c r="AE685" s="147"/>
      <c r="AF685" s="147"/>
      <c r="AG685" s="147"/>
      <c r="AH685" s="147"/>
      <c r="AI685" s="147"/>
      <c r="AJ685" s="147"/>
      <c r="AK685" s="147"/>
      <c r="AL685" s="147"/>
      <c r="AM685" s="147"/>
      <c r="AN685" s="147"/>
    </row>
    <row r="686" spans="1:40" ht="45" customHeight="1">
      <c r="A686" s="239">
        <v>5</v>
      </c>
      <c r="B686" s="239" t="s">
        <v>1676</v>
      </c>
      <c r="C686" s="239">
        <v>54</v>
      </c>
      <c r="D686" s="193" t="s">
        <v>1960</v>
      </c>
      <c r="E686" s="193">
        <v>542</v>
      </c>
      <c r="F686" s="193" t="s">
        <v>1961</v>
      </c>
      <c r="G686" s="193" t="s">
        <v>1962</v>
      </c>
      <c r="H686" s="212" t="str">
        <f>HYPERLINK("http://bsdd.buildingsmart.org/#concept/details/2ySLAyeAf0TuWvKVlo9SJX","2ySLAyeAf0TuWvKVlo9SJX")</f>
        <v>2ySLAyeAf0TuWvKVlo9SJX</v>
      </c>
      <c r="I686" s="123" t="s">
        <v>2317</v>
      </c>
      <c r="J686" s="195" t="s">
        <v>4622</v>
      </c>
      <c r="K686" s="191" t="s">
        <v>2318</v>
      </c>
      <c r="L686" s="248" t="s">
        <v>4623</v>
      </c>
      <c r="M686" s="210"/>
      <c r="N686" s="203" t="s">
        <v>1551</v>
      </c>
      <c r="O686" s="203" t="s">
        <v>1552</v>
      </c>
      <c r="P686" s="191" t="s">
        <v>1553</v>
      </c>
      <c r="Q686" s="192" t="s">
        <v>1854</v>
      </c>
      <c r="R686" s="192" t="s">
        <v>1855</v>
      </c>
      <c r="S686" s="206" t="s">
        <v>2324</v>
      </c>
      <c r="T686" s="199"/>
      <c r="U686" s="201"/>
      <c r="V686" s="201"/>
      <c r="W686" s="201"/>
      <c r="X686" s="201"/>
      <c r="Y686" s="201"/>
      <c r="Z686" s="202" t="str">
        <f t="shared" si="0"/>
        <v>RLOM AudioVisualAppliances</v>
      </c>
      <c r="AA686" s="174"/>
      <c r="AB686" s="147"/>
      <c r="AC686" s="147"/>
      <c r="AD686" s="147"/>
      <c r="AE686" s="147"/>
      <c r="AF686" s="147"/>
      <c r="AG686" s="147"/>
      <c r="AH686" s="147"/>
      <c r="AI686" s="147"/>
      <c r="AJ686" s="147"/>
      <c r="AK686" s="147"/>
      <c r="AL686" s="147"/>
      <c r="AM686" s="147"/>
      <c r="AN686" s="147"/>
    </row>
    <row r="687" spans="1:40" ht="36" customHeight="1">
      <c r="A687" s="239">
        <v>5</v>
      </c>
      <c r="B687" s="239" t="s">
        <v>1676</v>
      </c>
      <c r="C687" s="239">
        <v>54</v>
      </c>
      <c r="D687" s="193" t="s">
        <v>1960</v>
      </c>
      <c r="E687" s="193">
        <v>542</v>
      </c>
      <c r="F687" s="193" t="s">
        <v>1961</v>
      </c>
      <c r="G687" s="193" t="s">
        <v>1962</v>
      </c>
      <c r="H687" s="212" t="str">
        <f>HYPERLINK("http://bsdd.buildingsmart.org/#concept/details/2Ey6$PHjf1ePQEOrcGf03x","2Ey6$PHjf1ePQEOrcGf03x")</f>
        <v>2Ey6$PHjf1ePQEOrcGf03x</v>
      </c>
      <c r="I687" s="123" t="s">
        <v>2327</v>
      </c>
      <c r="J687" s="195" t="s">
        <v>4624</v>
      </c>
      <c r="K687" s="191" t="s">
        <v>2329</v>
      </c>
      <c r="L687" s="248" t="s">
        <v>4625</v>
      </c>
      <c r="M687" s="210"/>
      <c r="N687" s="203" t="s">
        <v>1829</v>
      </c>
      <c r="O687" s="203" t="s">
        <v>2223</v>
      </c>
      <c r="P687" s="191" t="s">
        <v>2224</v>
      </c>
      <c r="Q687" s="192" t="s">
        <v>2225</v>
      </c>
      <c r="R687" s="192" t="s">
        <v>2227</v>
      </c>
      <c r="S687" s="206" t="s">
        <v>2241</v>
      </c>
      <c r="T687" s="199" t="s">
        <v>5229</v>
      </c>
      <c r="U687" s="201"/>
      <c r="V687" s="201"/>
      <c r="W687" s="201"/>
      <c r="X687" s="201"/>
      <c r="Y687" s="201"/>
      <c r="Z687" s="202" t="str">
        <f t="shared" si="0"/>
        <v>RLOM Actuators</v>
      </c>
      <c r="AA687" s="174"/>
      <c r="AB687" s="147"/>
      <c r="AC687" s="147"/>
      <c r="AD687" s="147"/>
      <c r="AE687" s="147"/>
      <c r="AF687" s="147"/>
      <c r="AG687" s="147"/>
      <c r="AH687" s="147"/>
      <c r="AI687" s="147"/>
      <c r="AJ687" s="147"/>
      <c r="AK687" s="147"/>
      <c r="AL687" s="147"/>
      <c r="AM687" s="147"/>
      <c r="AN687" s="147"/>
    </row>
    <row r="688" spans="1:40" ht="36" customHeight="1">
      <c r="A688" s="239">
        <v>5</v>
      </c>
      <c r="B688" s="239" t="s">
        <v>1676</v>
      </c>
      <c r="C688" s="239">
        <v>54</v>
      </c>
      <c r="D688" s="193" t="s">
        <v>1960</v>
      </c>
      <c r="E688" s="193">
        <v>542</v>
      </c>
      <c r="F688" s="193" t="s">
        <v>1961</v>
      </c>
      <c r="G688" s="193" t="s">
        <v>1962</v>
      </c>
      <c r="H688" s="212" t="str">
        <f>HYPERLINK("http://bsdd.buildingsmart.org/#concept/details/2ev3mPxtL6PvLctYe9tYky","2ev3mPxtL6PvLctYe9tYky")</f>
        <v>2ev3mPxtL6PvLctYe9tYky</v>
      </c>
      <c r="I688" s="123" t="s">
        <v>5180</v>
      </c>
      <c r="J688" s="195" t="s">
        <v>4626</v>
      </c>
      <c r="K688" s="191" t="s">
        <v>2336</v>
      </c>
      <c r="L688" s="248" t="s">
        <v>4627</v>
      </c>
      <c r="M688" s="210"/>
      <c r="N688" s="203" t="s">
        <v>1829</v>
      </c>
      <c r="O688" s="203" t="s">
        <v>2223</v>
      </c>
      <c r="P688" s="191" t="s">
        <v>2224</v>
      </c>
      <c r="Q688" s="192" t="s">
        <v>2225</v>
      </c>
      <c r="R688" s="192" t="s">
        <v>2227</v>
      </c>
      <c r="S688" s="206" t="s">
        <v>2338</v>
      </c>
      <c r="T688" s="199"/>
      <c r="U688" s="201"/>
      <c r="V688" s="201"/>
      <c r="W688" s="201"/>
      <c r="X688" s="201"/>
      <c r="Y688" s="201"/>
      <c r="Z688" s="202" t="str">
        <f t="shared" si="0"/>
        <v>RLOM Actuators</v>
      </c>
      <c r="AA688" s="174"/>
      <c r="AB688" s="147"/>
      <c r="AC688" s="147"/>
      <c r="AD688" s="147"/>
      <c r="AE688" s="147"/>
      <c r="AF688" s="147"/>
      <c r="AG688" s="147"/>
      <c r="AH688" s="147"/>
      <c r="AI688" s="147"/>
      <c r="AJ688" s="147"/>
      <c r="AK688" s="147"/>
      <c r="AL688" s="147"/>
      <c r="AM688" s="147"/>
      <c r="AN688" s="147"/>
    </row>
    <row r="689" spans="1:40" ht="36" customHeight="1">
      <c r="A689" s="239">
        <v>5</v>
      </c>
      <c r="B689" s="239" t="s">
        <v>1676</v>
      </c>
      <c r="C689" s="239">
        <v>54</v>
      </c>
      <c r="D689" s="193" t="s">
        <v>1960</v>
      </c>
      <c r="E689" s="193">
        <v>542</v>
      </c>
      <c r="F689" s="193" t="s">
        <v>1961</v>
      </c>
      <c r="G689" s="193" t="s">
        <v>1962</v>
      </c>
      <c r="H689" s="212" t="str">
        <f>HYPERLINK("http://bsdd.buildingsmart.org/#concept/details/2GZ4CQ33P8ZQJ_bqx7pGXX","2GZ4CQ33P8ZQJ_bqx7pGXX")</f>
        <v>2GZ4CQ33P8ZQJ_bqx7pGXX</v>
      </c>
      <c r="I689" s="123" t="s">
        <v>2339</v>
      </c>
      <c r="J689" s="195" t="s">
        <v>4628</v>
      </c>
      <c r="K689" s="191"/>
      <c r="L689" s="248" t="s">
        <v>4629</v>
      </c>
      <c r="M689" s="210"/>
      <c r="N689" s="203" t="s">
        <v>1416</v>
      </c>
      <c r="O689" s="203" t="s">
        <v>1417</v>
      </c>
      <c r="P689" s="191" t="s">
        <v>1419</v>
      </c>
      <c r="Q689" s="192" t="s">
        <v>2340</v>
      </c>
      <c r="R689" s="192" t="s">
        <v>2341</v>
      </c>
      <c r="S689" s="206" t="s">
        <v>2343</v>
      </c>
      <c r="T689" s="199"/>
      <c r="U689" s="201"/>
      <c r="V689" s="201"/>
      <c r="W689" s="201"/>
      <c r="X689" s="201"/>
      <c r="Y689" s="201"/>
      <c r="Z689" s="202" t="str">
        <f t="shared" si="0"/>
        <v>RLOM ElectricMotors</v>
      </c>
      <c r="AA689" s="174"/>
      <c r="AB689" s="147"/>
      <c r="AC689" s="147"/>
      <c r="AD689" s="147"/>
      <c r="AE689" s="147"/>
      <c r="AF689" s="147"/>
      <c r="AG689" s="147"/>
      <c r="AH689" s="147"/>
      <c r="AI689" s="147"/>
      <c r="AJ689" s="147"/>
      <c r="AK689" s="147"/>
      <c r="AL689" s="147"/>
      <c r="AM689" s="147"/>
      <c r="AN689" s="147"/>
    </row>
    <row r="690" spans="1:40" ht="27" customHeight="1">
      <c r="A690" s="239">
        <v>5</v>
      </c>
      <c r="B690" s="239" t="s">
        <v>1676</v>
      </c>
      <c r="C690" s="239">
        <v>54</v>
      </c>
      <c r="D690" s="193" t="s">
        <v>1960</v>
      </c>
      <c r="E690" s="193">
        <v>542</v>
      </c>
      <c r="F690" s="193" t="s">
        <v>1961</v>
      </c>
      <c r="G690" s="193" t="s">
        <v>1962</v>
      </c>
      <c r="H690" s="212" t="str">
        <f>HYPERLINK("http://bsdd.buildingsmart.org/#concept/details/1LzLWaCqrCwx8qCdQ10J35","1LzLWaCqrCwx8qCdQ10J35")</f>
        <v>1LzLWaCqrCwx8qCdQ10J35</v>
      </c>
      <c r="I690" s="123" t="s">
        <v>2344</v>
      </c>
      <c r="J690" s="195" t="s">
        <v>4630</v>
      </c>
      <c r="K690" s="191"/>
      <c r="L690" s="248" t="s">
        <v>4631</v>
      </c>
      <c r="M690" s="210"/>
      <c r="N690" s="203" t="s">
        <v>1416</v>
      </c>
      <c r="O690" s="203" t="s">
        <v>1417</v>
      </c>
      <c r="P690" s="191" t="s">
        <v>1419</v>
      </c>
      <c r="Q690" s="192" t="s">
        <v>2340</v>
      </c>
      <c r="R690" s="192" t="s">
        <v>2341</v>
      </c>
      <c r="S690" s="206" t="s">
        <v>2343</v>
      </c>
      <c r="T690" s="199"/>
      <c r="U690" s="201"/>
      <c r="V690" s="201"/>
      <c r="W690" s="201"/>
      <c r="X690" s="201"/>
      <c r="Y690" s="201"/>
      <c r="Z690" s="202" t="str">
        <f t="shared" si="0"/>
        <v>RLOM ElectricMotors</v>
      </c>
      <c r="AA690" s="174"/>
      <c r="AB690" s="147"/>
      <c r="AC690" s="147"/>
      <c r="AD690" s="147"/>
      <c r="AE690" s="147"/>
      <c r="AF690" s="147"/>
      <c r="AG690" s="147"/>
      <c r="AH690" s="147"/>
      <c r="AI690" s="147"/>
      <c r="AJ690" s="147"/>
      <c r="AK690" s="147"/>
      <c r="AL690" s="147"/>
      <c r="AM690" s="147"/>
      <c r="AN690" s="147"/>
    </row>
    <row r="691" spans="1:40" ht="45" customHeight="1">
      <c r="A691" s="239">
        <v>5</v>
      </c>
      <c r="B691" s="239" t="s">
        <v>1676</v>
      </c>
      <c r="C691" s="239">
        <v>54</v>
      </c>
      <c r="D691" s="193" t="s">
        <v>1960</v>
      </c>
      <c r="E691" s="193">
        <v>543</v>
      </c>
      <c r="F691" s="193" t="s">
        <v>2345</v>
      </c>
      <c r="G691" s="193" t="s">
        <v>2346</v>
      </c>
      <c r="H691" s="212" t="str">
        <f>HYPERLINK("http://bsdd.buildingsmart.org/#concept/details/0C7rZ9s69D4PMI8A3yNhbg","0C7rZ9s69D4PMI8A3yNhbg")</f>
        <v>0C7rZ9s69D4PMI8A3yNhbg</v>
      </c>
      <c r="I691" s="123" t="s">
        <v>5181</v>
      </c>
      <c r="J691" s="195" t="s">
        <v>4632</v>
      </c>
      <c r="K691" s="191"/>
      <c r="L691" s="248" t="s">
        <v>4633</v>
      </c>
      <c r="M691" s="210"/>
      <c r="N691" s="203" t="s">
        <v>2350</v>
      </c>
      <c r="O691" s="203" t="s">
        <v>2351</v>
      </c>
      <c r="P691" s="191" t="s">
        <v>2352</v>
      </c>
      <c r="Q691" s="192" t="s">
        <v>1938</v>
      </c>
      <c r="R691" s="192"/>
      <c r="S691" s="206"/>
      <c r="T691" s="199"/>
      <c r="U691" s="201"/>
      <c r="V691" s="201"/>
      <c r="W691" s="201"/>
      <c r="X691" s="201"/>
      <c r="Y691" s="201"/>
      <c r="Z691" s="202" t="str">
        <f t="shared" si="0"/>
        <v>RLOM Alarms</v>
      </c>
      <c r="AA691" s="174"/>
      <c r="AB691" s="147"/>
      <c r="AC691" s="147"/>
      <c r="AD691" s="147"/>
      <c r="AE691" s="147"/>
      <c r="AF691" s="147"/>
      <c r="AG691" s="147"/>
      <c r="AH691" s="147"/>
      <c r="AI691" s="147"/>
      <c r="AJ691" s="147"/>
      <c r="AK691" s="147"/>
      <c r="AL691" s="147"/>
      <c r="AM691" s="147"/>
      <c r="AN691" s="147"/>
    </row>
    <row r="692" spans="1:40" ht="45" customHeight="1">
      <c r="A692" s="239">
        <v>5</v>
      </c>
      <c r="B692" s="239" t="s">
        <v>1676</v>
      </c>
      <c r="C692" s="239">
        <v>54</v>
      </c>
      <c r="D692" s="193" t="s">
        <v>1960</v>
      </c>
      <c r="E692" s="193">
        <v>543</v>
      </c>
      <c r="F692" s="193" t="s">
        <v>2345</v>
      </c>
      <c r="G692" s="193" t="s">
        <v>2346</v>
      </c>
      <c r="H692" s="212" t="str">
        <f>HYPERLINK("http://bsdd.buildingsmart.org/#concept/details/3S86AwDgz3xwYPjXwAontp","3S86AwDgz3xwYPjXwAontp")</f>
        <v>3S86AwDgz3xwYPjXwAontp</v>
      </c>
      <c r="I692" s="123" t="s">
        <v>5182</v>
      </c>
      <c r="J692" s="195" t="s">
        <v>4634</v>
      </c>
      <c r="K692" s="191" t="s">
        <v>2356</v>
      </c>
      <c r="L692" s="248" t="s">
        <v>4635</v>
      </c>
      <c r="M692" s="210"/>
      <c r="N692" s="203" t="s">
        <v>2350</v>
      </c>
      <c r="O692" s="203" t="s">
        <v>2351</v>
      </c>
      <c r="P692" s="191" t="s">
        <v>2352</v>
      </c>
      <c r="Q692" s="192" t="s">
        <v>1938</v>
      </c>
      <c r="R692" s="192"/>
      <c r="S692" s="206"/>
      <c r="T692" s="199"/>
      <c r="U692" s="201"/>
      <c r="V692" s="201"/>
      <c r="W692" s="201"/>
      <c r="X692" s="201"/>
      <c r="Y692" s="201"/>
      <c r="Z692" s="202" t="str">
        <f t="shared" si="0"/>
        <v>RLOM Alarms</v>
      </c>
      <c r="AA692" s="174"/>
      <c r="AB692" s="147"/>
      <c r="AC692" s="147"/>
      <c r="AD692" s="147"/>
      <c r="AE692" s="147"/>
      <c r="AF692" s="147"/>
      <c r="AG692" s="147"/>
      <c r="AH692" s="147"/>
      <c r="AI692" s="147"/>
      <c r="AJ692" s="147"/>
      <c r="AK692" s="147"/>
      <c r="AL692" s="147"/>
      <c r="AM692" s="147"/>
      <c r="AN692" s="147"/>
    </row>
    <row r="693" spans="1:40" ht="45" customHeight="1">
      <c r="A693" s="239">
        <v>5</v>
      </c>
      <c r="B693" s="239" t="s">
        <v>1676</v>
      </c>
      <c r="C693" s="239">
        <v>54</v>
      </c>
      <c r="D693" s="193" t="s">
        <v>1960</v>
      </c>
      <c r="E693" s="193">
        <v>543</v>
      </c>
      <c r="F693" s="193" t="s">
        <v>2345</v>
      </c>
      <c r="G693" s="193" t="s">
        <v>2346</v>
      </c>
      <c r="H693" s="212" t="str">
        <f>HYPERLINK("http://bsdd.buildingsmart.org/#concept/details/2QVV2A1c50OA7Nqzb0zZwV","2QVV2A1c50OA7Nqzb0zZwV")</f>
        <v>2QVV2A1c50OA7Nqzb0zZwV</v>
      </c>
      <c r="I693" s="123" t="s">
        <v>5183</v>
      </c>
      <c r="J693" s="195" t="s">
        <v>4636</v>
      </c>
      <c r="K693" s="191" t="s">
        <v>2361</v>
      </c>
      <c r="L693" s="248" t="s">
        <v>4637</v>
      </c>
      <c r="M693" s="210"/>
      <c r="N693" s="203" t="s">
        <v>2350</v>
      </c>
      <c r="O693" s="203" t="s">
        <v>2351</v>
      </c>
      <c r="P693" s="191" t="s">
        <v>2352</v>
      </c>
      <c r="Q693" s="192" t="s">
        <v>1140</v>
      </c>
      <c r="R693" s="192" t="s">
        <v>1141</v>
      </c>
      <c r="S693" s="206" t="s">
        <v>1142</v>
      </c>
      <c r="T693" s="199"/>
      <c r="U693" s="201"/>
      <c r="V693" s="201"/>
      <c r="W693" s="201"/>
      <c r="X693" s="201"/>
      <c r="Y693" s="201"/>
      <c r="Z693" s="202" t="str">
        <f t="shared" si="0"/>
        <v>RLOM CommunicationsAppliances</v>
      </c>
      <c r="AA693" s="174"/>
      <c r="AB693" s="147"/>
      <c r="AC693" s="147"/>
      <c r="AD693" s="147"/>
      <c r="AE693" s="147"/>
      <c r="AF693" s="147"/>
      <c r="AG693" s="147"/>
      <c r="AH693" s="147"/>
      <c r="AI693" s="147"/>
      <c r="AJ693" s="147"/>
      <c r="AK693" s="147"/>
      <c r="AL693" s="147"/>
      <c r="AM693" s="147"/>
      <c r="AN693" s="147"/>
    </row>
    <row r="694" spans="1:40" ht="27" customHeight="1">
      <c r="A694" s="239">
        <v>5</v>
      </c>
      <c r="B694" s="239" t="s">
        <v>1676</v>
      </c>
      <c r="C694" s="239">
        <v>54</v>
      </c>
      <c r="D694" s="193" t="s">
        <v>1960</v>
      </c>
      <c r="E694" s="193">
        <v>543</v>
      </c>
      <c r="F694" s="193" t="s">
        <v>2345</v>
      </c>
      <c r="G694" s="193" t="s">
        <v>2346</v>
      </c>
      <c r="H694" s="212" t="str">
        <f>HYPERLINK("http://bsdd.buildingsmart.org/#concept/details/2J2xRxioTFJRlBZ5GWMxp1","2J2xRxioTFJRlBZ5GWMxp1")</f>
        <v>2J2xRxioTFJRlBZ5GWMxp1</v>
      </c>
      <c r="I694" s="123" t="s">
        <v>5184</v>
      </c>
      <c r="J694" s="195" t="s">
        <v>4638</v>
      </c>
      <c r="K694" s="191"/>
      <c r="L694" s="248" t="s">
        <v>4639</v>
      </c>
      <c r="M694" s="210"/>
      <c r="N694" s="203" t="s">
        <v>1523</v>
      </c>
      <c r="O694" s="203" t="s">
        <v>1524</v>
      </c>
      <c r="P694" s="191" t="s">
        <v>1525</v>
      </c>
      <c r="Q694" s="192" t="s">
        <v>1526</v>
      </c>
      <c r="R694" s="192" t="s">
        <v>1527</v>
      </c>
      <c r="S694" s="206" t="s">
        <v>2370</v>
      </c>
      <c r="T694" s="199" t="s">
        <v>2371</v>
      </c>
      <c r="U694" s="201"/>
      <c r="V694" s="201"/>
      <c r="W694" s="201"/>
      <c r="X694" s="201"/>
      <c r="Y694" s="201"/>
      <c r="Z694" s="202" t="str">
        <f t="shared" si="0"/>
        <v>RLOM SwitchingDevices</v>
      </c>
      <c r="AA694" s="174"/>
      <c r="AB694" s="147"/>
      <c r="AC694" s="147"/>
      <c r="AD694" s="147"/>
      <c r="AE694" s="147"/>
      <c r="AF694" s="147"/>
      <c r="AG694" s="147"/>
      <c r="AH694" s="147"/>
      <c r="AI694" s="147"/>
      <c r="AJ694" s="147"/>
      <c r="AK694" s="147"/>
      <c r="AL694" s="147"/>
      <c r="AM694" s="147"/>
      <c r="AN694" s="147"/>
    </row>
    <row r="695" spans="1:40" ht="27" customHeight="1">
      <c r="A695" s="239">
        <v>5</v>
      </c>
      <c r="B695" s="239" t="s">
        <v>1676</v>
      </c>
      <c r="C695" s="239">
        <v>54</v>
      </c>
      <c r="D695" s="193" t="s">
        <v>1960</v>
      </c>
      <c r="E695" s="193">
        <v>543</v>
      </c>
      <c r="F695" s="193" t="s">
        <v>2345</v>
      </c>
      <c r="G695" s="193" t="s">
        <v>2346</v>
      </c>
      <c r="H695" s="212" t="str">
        <f>HYPERLINK("http://bsdd.buildingsmart.org/#concept/details/0bI8KYlbnEs9Vfal4kCned","0bI8KYlbnEs9Vfal4kCned")</f>
        <v>0bI8KYlbnEs9Vfal4kCned</v>
      </c>
      <c r="I695" s="123" t="s">
        <v>5185</v>
      </c>
      <c r="J695" s="195" t="s">
        <v>4640</v>
      </c>
      <c r="K695" s="191" t="s">
        <v>2375</v>
      </c>
      <c r="L695" s="248" t="s">
        <v>4641</v>
      </c>
      <c r="M695" s="210"/>
      <c r="N695" s="203" t="s">
        <v>1523</v>
      </c>
      <c r="O695" s="203" t="s">
        <v>1524</v>
      </c>
      <c r="P695" s="191" t="s">
        <v>1525</v>
      </c>
      <c r="Q695" s="192" t="s">
        <v>1526</v>
      </c>
      <c r="R695" s="192" t="s">
        <v>1527</v>
      </c>
      <c r="S695" s="206" t="s">
        <v>2370</v>
      </c>
      <c r="T695" s="199" t="s">
        <v>2371</v>
      </c>
      <c r="U695" s="201"/>
      <c r="V695" s="201"/>
      <c r="W695" s="201"/>
      <c r="X695" s="201"/>
      <c r="Y695" s="201"/>
      <c r="Z695" s="202" t="str">
        <f t="shared" si="0"/>
        <v>RLOM SwitchingDevices</v>
      </c>
      <c r="AA695" s="174"/>
      <c r="AB695" s="147"/>
      <c r="AC695" s="147"/>
      <c r="AD695" s="147"/>
      <c r="AE695" s="147"/>
      <c r="AF695" s="147"/>
      <c r="AG695" s="147"/>
      <c r="AH695" s="147"/>
      <c r="AI695" s="147"/>
      <c r="AJ695" s="147"/>
      <c r="AK695" s="147"/>
      <c r="AL695" s="147"/>
      <c r="AM695" s="147"/>
      <c r="AN695" s="147"/>
    </row>
    <row r="696" spans="1:40" ht="27" customHeight="1">
      <c r="A696" s="239">
        <v>5</v>
      </c>
      <c r="B696" s="239" t="s">
        <v>1676</v>
      </c>
      <c r="C696" s="239">
        <v>54</v>
      </c>
      <c r="D696" s="193" t="s">
        <v>1960</v>
      </c>
      <c r="E696" s="193">
        <v>543</v>
      </c>
      <c r="F696" s="193" t="s">
        <v>2345</v>
      </c>
      <c r="G696" s="193" t="s">
        <v>2346</v>
      </c>
      <c r="H696" s="212" t="str">
        <f>HYPERLINK("http://bsdd.buildingsmart.org/#concept/details/1OnuFUtVT6u9O7v1VU0sU8","1OnuFUtVT6u9O7v1VU0sU8")</f>
        <v>1OnuFUtVT6u9O7v1VU0sU8</v>
      </c>
      <c r="I696" s="123" t="s">
        <v>2380</v>
      </c>
      <c r="J696" s="195" t="s">
        <v>4642</v>
      </c>
      <c r="K696" s="191"/>
      <c r="L696" s="248" t="s">
        <v>4643</v>
      </c>
      <c r="M696" s="210"/>
      <c r="N696" s="203" t="s">
        <v>1523</v>
      </c>
      <c r="O696" s="203" t="s">
        <v>1524</v>
      </c>
      <c r="P696" s="191" t="s">
        <v>1525</v>
      </c>
      <c r="Q696" s="192" t="s">
        <v>559</v>
      </c>
      <c r="R696" s="192"/>
      <c r="S696" s="206"/>
      <c r="T696" s="199"/>
      <c r="U696" s="201"/>
      <c r="V696" s="201"/>
      <c r="W696" s="201"/>
      <c r="X696" s="201"/>
      <c r="Y696" s="201"/>
      <c r="Z696" s="202" t="str">
        <f t="shared" si="0"/>
        <v>RLOM Sensors</v>
      </c>
      <c r="AA696" s="174"/>
      <c r="AB696" s="147"/>
      <c r="AC696" s="147"/>
      <c r="AD696" s="147"/>
      <c r="AE696" s="147"/>
      <c r="AF696" s="147"/>
      <c r="AG696" s="147"/>
      <c r="AH696" s="147"/>
      <c r="AI696" s="147"/>
      <c r="AJ696" s="147"/>
      <c r="AK696" s="147"/>
      <c r="AL696" s="147"/>
      <c r="AM696" s="147"/>
      <c r="AN696" s="147"/>
    </row>
    <row r="697" spans="1:40" ht="27" customHeight="1">
      <c r="A697" s="239">
        <v>5</v>
      </c>
      <c r="B697" s="239" t="s">
        <v>1676</v>
      </c>
      <c r="C697" s="239">
        <v>54</v>
      </c>
      <c r="D697" s="193" t="s">
        <v>1960</v>
      </c>
      <c r="E697" s="193">
        <v>543</v>
      </c>
      <c r="F697" s="193" t="s">
        <v>2345</v>
      </c>
      <c r="G697" s="193" t="s">
        <v>2346</v>
      </c>
      <c r="H697" s="212" t="str">
        <f>HYPERLINK("http://bsdd.buildingsmart.org/#concept/details/1zPt5t9Iv1Jgm3ekolX_Ny","1zPt5t9Iv1Jgm3ekolX_Ny")</f>
        <v>1zPt5t9Iv1Jgm3ekolX_Ny</v>
      </c>
      <c r="I697" s="123" t="s">
        <v>5186</v>
      </c>
      <c r="J697" s="195" t="s">
        <v>4644</v>
      </c>
      <c r="K697" s="191" t="s">
        <v>2384</v>
      </c>
      <c r="L697" s="248" t="s">
        <v>4645</v>
      </c>
      <c r="M697" s="210"/>
      <c r="N697" s="203" t="s">
        <v>1523</v>
      </c>
      <c r="O697" s="203" t="s">
        <v>1524</v>
      </c>
      <c r="P697" s="191" t="s">
        <v>1525</v>
      </c>
      <c r="Q697" s="192" t="s">
        <v>559</v>
      </c>
      <c r="R697" s="192"/>
      <c r="S697" s="206"/>
      <c r="T697" s="199"/>
      <c r="U697" s="201"/>
      <c r="V697" s="201"/>
      <c r="W697" s="201"/>
      <c r="X697" s="201"/>
      <c r="Y697" s="201"/>
      <c r="Z697" s="202" t="str">
        <f t="shared" si="0"/>
        <v>RLOM Sensors</v>
      </c>
      <c r="AA697" s="174"/>
      <c r="AB697" s="147"/>
      <c r="AC697" s="147"/>
      <c r="AD697" s="147"/>
      <c r="AE697" s="147"/>
      <c r="AF697" s="147"/>
      <c r="AG697" s="147"/>
      <c r="AH697" s="147"/>
      <c r="AI697" s="147"/>
      <c r="AJ697" s="147"/>
      <c r="AK697" s="147"/>
      <c r="AL697" s="147"/>
      <c r="AM697" s="147"/>
      <c r="AN697" s="147"/>
    </row>
    <row r="698" spans="1:40" ht="45" customHeight="1">
      <c r="A698" s="239">
        <v>5</v>
      </c>
      <c r="B698" s="239" t="s">
        <v>1676</v>
      </c>
      <c r="C698" s="239">
        <v>54</v>
      </c>
      <c r="D698" s="193" t="s">
        <v>1960</v>
      </c>
      <c r="E698" s="193">
        <v>543</v>
      </c>
      <c r="F698" s="193" t="s">
        <v>2345</v>
      </c>
      <c r="G698" s="193" t="s">
        <v>2346</v>
      </c>
      <c r="H698" s="212" t="str">
        <f>HYPERLINK("http://bsdd.buildingsmart.org/#concept/details/1hyyDjxHT8TO8rDIdcSnWy","1hyyDjxHT8TO8rDIdcSnWy")</f>
        <v>1hyyDjxHT8TO8rDIdcSnWy</v>
      </c>
      <c r="I698" s="123" t="s">
        <v>5187</v>
      </c>
      <c r="J698" s="195" t="s">
        <v>2392</v>
      </c>
      <c r="K698" s="191"/>
      <c r="L698" s="249" t="str">
        <f ca="1">IFERROR(__xludf.DUMMYFUNCTION(GOOGLETRANSLATE(J698,"no","en")),"IR detector wall")</f>
        <v>IR detector wall</v>
      </c>
      <c r="M698" s="210"/>
      <c r="N698" s="203" t="s">
        <v>1517</v>
      </c>
      <c r="O698" s="203" t="s">
        <v>1518</v>
      </c>
      <c r="P698" s="191" t="s">
        <v>1519</v>
      </c>
      <c r="Q698" s="192" t="s">
        <v>559</v>
      </c>
      <c r="R698" s="192"/>
      <c r="S698" s="206"/>
      <c r="T698" s="199"/>
      <c r="U698" s="201"/>
      <c r="V698" s="201"/>
      <c r="W698" s="201"/>
      <c r="X698" s="201"/>
      <c r="Y698" s="201"/>
      <c r="Z698" s="202" t="str">
        <f t="shared" si="0"/>
        <v>RLOM Sensors</v>
      </c>
      <c r="AA698" s="174"/>
      <c r="AB698" s="147"/>
      <c r="AC698" s="147"/>
      <c r="AD698" s="147"/>
      <c r="AE698" s="147"/>
      <c r="AF698" s="147"/>
      <c r="AG698" s="147"/>
      <c r="AH698" s="147"/>
      <c r="AI698" s="147"/>
      <c r="AJ698" s="147"/>
      <c r="AK698" s="147"/>
      <c r="AL698" s="147"/>
      <c r="AM698" s="147"/>
      <c r="AN698" s="147"/>
    </row>
    <row r="699" spans="1:40" ht="27" customHeight="1">
      <c r="A699" s="239">
        <v>5</v>
      </c>
      <c r="B699" s="239" t="s">
        <v>1676</v>
      </c>
      <c r="C699" s="239">
        <v>54</v>
      </c>
      <c r="D699" s="193" t="s">
        <v>1960</v>
      </c>
      <c r="E699" s="193">
        <v>543</v>
      </c>
      <c r="F699" s="193" t="s">
        <v>2345</v>
      </c>
      <c r="G699" s="193" t="s">
        <v>2346</v>
      </c>
      <c r="H699" s="212" t="str">
        <f>HYPERLINK("http://bsdd.buildingsmart.org/#concept/details/3SMo2vb2zBUur8sXMi7Qrb","3SMo2vb2zBUur8sXMi7Qrb")</f>
        <v>3SMo2vb2zBUur8sXMi7Qrb</v>
      </c>
      <c r="I699" s="123" t="s">
        <v>5188</v>
      </c>
      <c r="J699" s="195" t="s">
        <v>4646</v>
      </c>
      <c r="K699" s="191" t="s">
        <v>2404</v>
      </c>
      <c r="L699" s="248" t="s">
        <v>4647</v>
      </c>
      <c r="M699" s="210"/>
      <c r="N699" s="203" t="s">
        <v>1523</v>
      </c>
      <c r="O699" s="203" t="s">
        <v>1524</v>
      </c>
      <c r="P699" s="191" t="s">
        <v>1525</v>
      </c>
      <c r="Q699" s="192" t="s">
        <v>1526</v>
      </c>
      <c r="R699" s="192" t="s">
        <v>1527</v>
      </c>
      <c r="S699" s="206" t="s">
        <v>2370</v>
      </c>
      <c r="T699" s="199" t="s">
        <v>2423</v>
      </c>
      <c r="U699" s="201"/>
      <c r="V699" s="201"/>
      <c r="W699" s="201"/>
      <c r="X699" s="201"/>
      <c r="Y699" s="201"/>
      <c r="Z699" s="202" t="str">
        <f t="shared" si="0"/>
        <v>RLOM SwitchingDevices</v>
      </c>
      <c r="AA699" s="174"/>
      <c r="AB699" s="147"/>
      <c r="AC699" s="147"/>
      <c r="AD699" s="147"/>
      <c r="AE699" s="147"/>
      <c r="AF699" s="147"/>
      <c r="AG699" s="147"/>
      <c r="AH699" s="147"/>
      <c r="AI699" s="147"/>
      <c r="AJ699" s="147"/>
      <c r="AK699" s="147"/>
      <c r="AL699" s="147"/>
      <c r="AM699" s="147"/>
      <c r="AN699" s="147"/>
    </row>
    <row r="700" spans="1:40" ht="63" customHeight="1">
      <c r="A700" s="239">
        <v>5</v>
      </c>
      <c r="B700" s="239" t="s">
        <v>1676</v>
      </c>
      <c r="C700" s="239">
        <v>54</v>
      </c>
      <c r="D700" s="193" t="s">
        <v>1960</v>
      </c>
      <c r="E700" s="193">
        <v>543</v>
      </c>
      <c r="F700" s="193" t="s">
        <v>2345</v>
      </c>
      <c r="G700" s="193" t="s">
        <v>2346</v>
      </c>
      <c r="H700" s="212" t="str">
        <f>HYPERLINK("http://bsdd.buildingsmart.org/#concept/details/0Kf1C_lqrFv9OwBch7wgQH","0Kf1C_lqrFv9OwBch7wgQH")</f>
        <v>0Kf1C_lqrFv9OwBch7wgQH</v>
      </c>
      <c r="I700" s="123" t="s">
        <v>2424</v>
      </c>
      <c r="J700" s="195" t="s">
        <v>4648</v>
      </c>
      <c r="K700" s="191"/>
      <c r="L700" s="249" t="str">
        <f t="shared" ref="L700:L708" ca="1" si="27">IFERROR(__xludf.DUMMYFUNCTION(GOOGLETRANSLATE(J700,"no","en")),"substation C-node")</f>
        <v>substation C-node</v>
      </c>
      <c r="M700" s="210"/>
      <c r="N700" s="203" t="s">
        <v>1807</v>
      </c>
      <c r="O700" s="203" t="s">
        <v>2425</v>
      </c>
      <c r="P700" s="191" t="s">
        <v>2426</v>
      </c>
      <c r="Q700" s="192" t="s">
        <v>1395</v>
      </c>
      <c r="R700" s="192" t="s">
        <v>1396</v>
      </c>
      <c r="S700" s="206" t="s">
        <v>1463</v>
      </c>
      <c r="T700" s="199"/>
      <c r="U700" s="201"/>
      <c r="V700" s="201"/>
      <c r="W700" s="201"/>
      <c r="X700" s="201"/>
      <c r="Y700" s="201"/>
      <c r="Z700" s="202" t="str">
        <f t="shared" si="0"/>
        <v>RLOM ElectricDistributionBoards</v>
      </c>
      <c r="AA700" s="174"/>
      <c r="AB700" s="147"/>
      <c r="AC700" s="147"/>
      <c r="AD700" s="147"/>
      <c r="AE700" s="147"/>
      <c r="AF700" s="147"/>
      <c r="AG700" s="147"/>
      <c r="AH700" s="147"/>
      <c r="AI700" s="147"/>
      <c r="AJ700" s="147"/>
      <c r="AK700" s="147"/>
      <c r="AL700" s="147"/>
      <c r="AM700" s="147"/>
      <c r="AN700" s="147"/>
    </row>
    <row r="701" spans="1:40" ht="63" customHeight="1">
      <c r="A701" s="239">
        <v>5</v>
      </c>
      <c r="B701" s="239" t="s">
        <v>1676</v>
      </c>
      <c r="C701" s="239">
        <v>54</v>
      </c>
      <c r="D701" s="193" t="s">
        <v>1960</v>
      </c>
      <c r="E701" s="193">
        <v>543</v>
      </c>
      <c r="F701" s="193" t="s">
        <v>2345</v>
      </c>
      <c r="G701" s="193" t="s">
        <v>2346</v>
      </c>
      <c r="H701" s="212" t="str">
        <f>HYPERLINK("http://bsdd.buildingsmart.org/#concept/details/07tGsuOdj2nB99j5h0rXXd","07tGsuOdj2nB99j5h0rXXd")</f>
        <v>07tGsuOdj2nB99j5h0rXXd</v>
      </c>
      <c r="I701" s="123" t="s">
        <v>2430</v>
      </c>
      <c r="J701" s="195" t="s">
        <v>4649</v>
      </c>
      <c r="K701" s="191"/>
      <c r="L701" s="249" t="str">
        <f t="shared" ca="1" si="27"/>
        <v>substation C-node</v>
      </c>
      <c r="M701" s="210"/>
      <c r="N701" s="203" t="s">
        <v>1807</v>
      </c>
      <c r="O701" s="203" t="s">
        <v>2425</v>
      </c>
      <c r="P701" s="191" t="s">
        <v>2426</v>
      </c>
      <c r="Q701" s="192" t="s">
        <v>1395</v>
      </c>
      <c r="R701" s="192" t="s">
        <v>1396</v>
      </c>
      <c r="S701" s="206" t="s">
        <v>1463</v>
      </c>
      <c r="T701" s="199"/>
      <c r="U701" s="201"/>
      <c r="V701" s="201"/>
      <c r="W701" s="201"/>
      <c r="X701" s="201"/>
      <c r="Y701" s="201"/>
      <c r="Z701" s="202" t="str">
        <f t="shared" si="0"/>
        <v>RLOM ElectricDistributionBoards</v>
      </c>
      <c r="AA701" s="174"/>
      <c r="AB701" s="147"/>
      <c r="AC701" s="147"/>
      <c r="AD701" s="147"/>
      <c r="AE701" s="147"/>
      <c r="AF701" s="147"/>
      <c r="AG701" s="147"/>
      <c r="AH701" s="147"/>
      <c r="AI701" s="147"/>
      <c r="AJ701" s="147"/>
      <c r="AK701" s="147"/>
      <c r="AL701" s="147"/>
      <c r="AM701" s="147"/>
      <c r="AN701" s="147"/>
    </row>
    <row r="702" spans="1:40" ht="45" customHeight="1">
      <c r="A702" s="239">
        <v>5</v>
      </c>
      <c r="B702" s="239" t="s">
        <v>1676</v>
      </c>
      <c r="C702" s="239">
        <v>54</v>
      </c>
      <c r="D702" s="193" t="s">
        <v>1960</v>
      </c>
      <c r="E702" s="193">
        <v>543</v>
      </c>
      <c r="F702" s="193" t="s">
        <v>2345</v>
      </c>
      <c r="G702" s="193" t="s">
        <v>2346</v>
      </c>
      <c r="H702" s="212" t="str">
        <f>HYPERLINK("http://bsdd.buildingsmart.org/#concept/details/0SicBLVsH4wAQPUHQURu4t","0SicBLVsH4wAQPUHQURu4t")</f>
        <v>0SicBLVsH4wAQPUHQURu4t</v>
      </c>
      <c r="I702" s="123" t="s">
        <v>2432</v>
      </c>
      <c r="J702" s="195" t="s">
        <v>4650</v>
      </c>
      <c r="K702" s="191"/>
      <c r="L702" s="249" t="str">
        <f t="shared" ca="1" si="27"/>
        <v>substation C-node</v>
      </c>
      <c r="M702" s="210"/>
      <c r="N702" s="203" t="s">
        <v>2350</v>
      </c>
      <c r="O702" s="203" t="s">
        <v>2351</v>
      </c>
      <c r="P702" s="191" t="s">
        <v>2352</v>
      </c>
      <c r="Q702" s="192" t="s">
        <v>1240</v>
      </c>
      <c r="R702" s="192" t="s">
        <v>1241</v>
      </c>
      <c r="S702" s="206" t="s">
        <v>1576</v>
      </c>
      <c r="T702" s="199"/>
      <c r="U702" s="201"/>
      <c r="V702" s="201"/>
      <c r="W702" s="201"/>
      <c r="X702" s="201"/>
      <c r="Y702" s="201"/>
      <c r="Z702" s="202" t="str">
        <f t="shared" si="0"/>
        <v>RLOM UnitaryControlElements</v>
      </c>
      <c r="AA702" s="174"/>
      <c r="AB702" s="147"/>
      <c r="AC702" s="147"/>
      <c r="AD702" s="147"/>
      <c r="AE702" s="147"/>
      <c r="AF702" s="147"/>
      <c r="AG702" s="147"/>
      <c r="AH702" s="147"/>
      <c r="AI702" s="147"/>
      <c r="AJ702" s="147"/>
      <c r="AK702" s="147"/>
      <c r="AL702" s="147"/>
      <c r="AM702" s="147"/>
      <c r="AN702" s="147"/>
    </row>
    <row r="703" spans="1:40" ht="36" customHeight="1">
      <c r="A703" s="239">
        <v>5</v>
      </c>
      <c r="B703" s="239" t="s">
        <v>1676</v>
      </c>
      <c r="C703" s="239">
        <v>54</v>
      </c>
      <c r="D703" s="193" t="s">
        <v>1960</v>
      </c>
      <c r="E703" s="193">
        <v>544</v>
      </c>
      <c r="F703" s="193" t="s">
        <v>2447</v>
      </c>
      <c r="G703" s="193" t="s">
        <v>2448</v>
      </c>
      <c r="H703" s="212" t="str">
        <f>HYPERLINK("http://bsdd.buildingsmart.org/#concept/details/0mX6ejfqn1G8zAXDOmMgNX","0mX6ejfqn1G8zAXDOmMgNX")</f>
        <v>0mX6ejfqn1G8zAXDOmMgNX</v>
      </c>
      <c r="I703" s="123" t="s">
        <v>2450</v>
      </c>
      <c r="J703" s="195" t="s">
        <v>4651</v>
      </c>
      <c r="K703" s="191" t="s">
        <v>2451</v>
      </c>
      <c r="L703" s="249" t="str">
        <f t="shared" ca="1" si="27"/>
        <v>substation C-node</v>
      </c>
      <c r="M703" s="210"/>
      <c r="N703" s="203" t="s">
        <v>1935</v>
      </c>
      <c r="O703" s="203" t="s">
        <v>1936</v>
      </c>
      <c r="P703" s="191" t="s">
        <v>1937</v>
      </c>
      <c r="Q703" s="192" t="s">
        <v>1240</v>
      </c>
      <c r="R703" s="192" t="s">
        <v>1241</v>
      </c>
      <c r="S703" s="206" t="s">
        <v>1576</v>
      </c>
      <c r="T703" s="199"/>
      <c r="U703" s="201"/>
      <c r="V703" s="201"/>
      <c r="W703" s="201"/>
      <c r="X703" s="201"/>
      <c r="Y703" s="201"/>
      <c r="Z703" s="202" t="str">
        <f t="shared" si="0"/>
        <v>RLOM UnitaryControlElements</v>
      </c>
      <c r="AA703" s="174"/>
      <c r="AB703" s="147"/>
      <c r="AC703" s="147"/>
      <c r="AD703" s="147"/>
      <c r="AE703" s="147"/>
      <c r="AF703" s="147"/>
      <c r="AG703" s="147"/>
      <c r="AH703" s="147"/>
      <c r="AI703" s="147"/>
      <c r="AJ703" s="147"/>
      <c r="AK703" s="147"/>
      <c r="AL703" s="147"/>
      <c r="AM703" s="147"/>
      <c r="AN703" s="147"/>
    </row>
    <row r="704" spans="1:40" ht="45" customHeight="1">
      <c r="A704" s="239">
        <v>5</v>
      </c>
      <c r="B704" s="239" t="s">
        <v>1676</v>
      </c>
      <c r="C704" s="239">
        <v>54</v>
      </c>
      <c r="D704" s="193" t="s">
        <v>1960</v>
      </c>
      <c r="E704" s="193">
        <v>544</v>
      </c>
      <c r="F704" s="193" t="s">
        <v>2447</v>
      </c>
      <c r="G704" s="193" t="s">
        <v>2448</v>
      </c>
      <c r="H704" s="212" t="str">
        <f>HYPERLINK("http://bsdd.buildingsmart.org/#concept/details/3b$$uP2yz0FQA5dYSoqWbh","3b$$uP2yz0FQA5dYSoqWbh")</f>
        <v>3b$$uP2yz0FQA5dYSoqWbh</v>
      </c>
      <c r="I704" s="123" t="s">
        <v>2447</v>
      </c>
      <c r="J704" s="195" t="s">
        <v>4652</v>
      </c>
      <c r="K704" s="191"/>
      <c r="L704" s="249" t="str">
        <f t="shared" ca="1" si="27"/>
        <v>substation C-node</v>
      </c>
      <c r="M704" s="210"/>
      <c r="N704" s="203" t="s">
        <v>2350</v>
      </c>
      <c r="O704" s="203" t="s">
        <v>2351</v>
      </c>
      <c r="P704" s="191" t="s">
        <v>2352</v>
      </c>
      <c r="Q704" s="192" t="s">
        <v>1526</v>
      </c>
      <c r="R704" s="192"/>
      <c r="S704" s="206"/>
      <c r="T704" s="199"/>
      <c r="U704" s="201"/>
      <c r="V704" s="201"/>
      <c r="W704" s="201"/>
      <c r="X704" s="201"/>
      <c r="Y704" s="201"/>
      <c r="Z704" s="202" t="str">
        <f t="shared" si="0"/>
        <v>RLOM SwitchingDevices</v>
      </c>
      <c r="AA704" s="174"/>
      <c r="AB704" s="147"/>
      <c r="AC704" s="147"/>
      <c r="AD704" s="147"/>
      <c r="AE704" s="147"/>
      <c r="AF704" s="147"/>
      <c r="AG704" s="147"/>
      <c r="AH704" s="147"/>
      <c r="AI704" s="147"/>
      <c r="AJ704" s="147"/>
      <c r="AK704" s="147"/>
      <c r="AL704" s="147"/>
      <c r="AM704" s="147"/>
      <c r="AN704" s="147"/>
    </row>
    <row r="705" spans="1:40" ht="45" customHeight="1">
      <c r="A705" s="239">
        <v>5</v>
      </c>
      <c r="B705" s="239" t="s">
        <v>1676</v>
      </c>
      <c r="C705" s="239">
        <v>54</v>
      </c>
      <c r="D705" s="193" t="s">
        <v>1960</v>
      </c>
      <c r="E705" s="193">
        <v>544</v>
      </c>
      <c r="F705" s="193" t="s">
        <v>2447</v>
      </c>
      <c r="G705" s="193" t="s">
        <v>2448</v>
      </c>
      <c r="H705" s="212" t="str">
        <f>HYPERLINK("http://bsdd.buildingsmart.org/#concept/details/0HNVsiQEPDZhClz7UTbt9M","0HNVsiQEPDZhClz7UTbt9M")</f>
        <v>0HNVsiQEPDZhClz7UTbt9M</v>
      </c>
      <c r="I705" s="123" t="s">
        <v>2459</v>
      </c>
      <c r="J705" s="195" t="s">
        <v>4653</v>
      </c>
      <c r="K705" s="191"/>
      <c r="L705" s="249" t="str">
        <f t="shared" ca="1" si="27"/>
        <v>substation C-node</v>
      </c>
      <c r="M705" s="210"/>
      <c r="N705" s="203" t="s">
        <v>2350</v>
      </c>
      <c r="O705" s="203" t="s">
        <v>2351</v>
      </c>
      <c r="P705" s="191" t="s">
        <v>2352</v>
      </c>
      <c r="Q705" s="192" t="s">
        <v>1526</v>
      </c>
      <c r="R705" s="192"/>
      <c r="S705" s="206"/>
      <c r="T705" s="199"/>
      <c r="U705" s="201"/>
      <c r="V705" s="201"/>
      <c r="W705" s="201"/>
      <c r="X705" s="201"/>
      <c r="Y705" s="201"/>
      <c r="Z705" s="202" t="str">
        <f t="shared" si="0"/>
        <v>RLOM SwitchingDevices</v>
      </c>
      <c r="AA705" s="174"/>
      <c r="AB705" s="147"/>
      <c r="AC705" s="147"/>
      <c r="AD705" s="147"/>
      <c r="AE705" s="147"/>
      <c r="AF705" s="147"/>
      <c r="AG705" s="147"/>
      <c r="AH705" s="147"/>
      <c r="AI705" s="147"/>
      <c r="AJ705" s="147"/>
      <c r="AK705" s="147"/>
      <c r="AL705" s="147"/>
      <c r="AM705" s="147"/>
      <c r="AN705" s="147"/>
    </row>
    <row r="706" spans="1:40" ht="24" customHeight="1">
      <c r="A706" s="239">
        <v>5</v>
      </c>
      <c r="B706" s="239" t="s">
        <v>1676</v>
      </c>
      <c r="C706" s="239">
        <v>54</v>
      </c>
      <c r="D706" s="193" t="s">
        <v>1960</v>
      </c>
      <c r="E706" s="193">
        <v>549</v>
      </c>
      <c r="F706" s="193" t="s">
        <v>2460</v>
      </c>
      <c r="G706" s="193" t="s">
        <v>1826</v>
      </c>
      <c r="H706" s="212" t="str">
        <f>HYPERLINK("http://bsdd.buildingsmart.org/#concept/details/2a7bOG5XT5auVQBIoPaQCc","2a7bOG5XT5auVQBIoPaQCc")</f>
        <v>2a7bOG5XT5auVQBIoPaQCc</v>
      </c>
      <c r="I706" s="123" t="s">
        <v>5189</v>
      </c>
      <c r="J706" s="195" t="s">
        <v>4654</v>
      </c>
      <c r="K706" s="191" t="s">
        <v>2463</v>
      </c>
      <c r="L706" s="249" t="str">
        <f t="shared" ca="1" si="27"/>
        <v>substation C-node</v>
      </c>
      <c r="M706" s="210"/>
      <c r="N706" s="203" t="s">
        <v>2464</v>
      </c>
      <c r="O706" s="203" t="s">
        <v>2465</v>
      </c>
      <c r="P706" s="191" t="s">
        <v>2467</v>
      </c>
      <c r="Q706" s="192" t="s">
        <v>559</v>
      </c>
      <c r="R706" s="192" t="s">
        <v>625</v>
      </c>
      <c r="S706" s="206" t="s">
        <v>2470</v>
      </c>
      <c r="T706" s="199"/>
      <c r="U706" s="201"/>
      <c r="V706" s="201"/>
      <c r="W706" s="201"/>
      <c r="X706" s="201"/>
      <c r="Y706" s="201"/>
      <c r="Z706" s="202" t="str">
        <f t="shared" si="0"/>
        <v>RLOM Sensors</v>
      </c>
      <c r="AA706" s="174"/>
      <c r="AB706" s="147"/>
      <c r="AC706" s="147"/>
      <c r="AD706" s="147"/>
      <c r="AE706" s="147"/>
      <c r="AF706" s="147"/>
      <c r="AG706" s="147"/>
      <c r="AH706" s="147"/>
      <c r="AI706" s="147"/>
      <c r="AJ706" s="147"/>
      <c r="AK706" s="147"/>
      <c r="AL706" s="147"/>
      <c r="AM706" s="147"/>
      <c r="AN706" s="147"/>
    </row>
    <row r="707" spans="1:40" ht="36" customHeight="1">
      <c r="A707" s="239">
        <v>5</v>
      </c>
      <c r="B707" s="239" t="s">
        <v>1676</v>
      </c>
      <c r="C707" s="239">
        <v>54</v>
      </c>
      <c r="D707" s="193" t="s">
        <v>1960</v>
      </c>
      <c r="E707" s="193">
        <v>549</v>
      </c>
      <c r="F707" s="193" t="s">
        <v>2460</v>
      </c>
      <c r="G707" s="193" t="s">
        <v>1826</v>
      </c>
      <c r="H707" s="212" t="str">
        <f>HYPERLINK("http://bsdd.buildingsmart.org/#concept/details/1cmu$ZDDv8Le$31VbQVHvt","1cmu$ZDDv8Le$31VbQVHvt")</f>
        <v>1cmu$ZDDv8Le$31VbQVHvt</v>
      </c>
      <c r="I707" s="123" t="s">
        <v>2473</v>
      </c>
      <c r="J707" s="195" t="s">
        <v>4655</v>
      </c>
      <c r="K707" s="191"/>
      <c r="L707" s="249" t="str">
        <f t="shared" ca="1" si="27"/>
        <v>substation C-node</v>
      </c>
      <c r="M707" s="210"/>
      <c r="N707" s="203" t="s">
        <v>1829</v>
      </c>
      <c r="O707" s="203" t="s">
        <v>2223</v>
      </c>
      <c r="P707" s="191" t="s">
        <v>2224</v>
      </c>
      <c r="Q707" s="192" t="s">
        <v>2225</v>
      </c>
      <c r="R707" s="192" t="s">
        <v>2227</v>
      </c>
      <c r="S707" s="206" t="s">
        <v>2241</v>
      </c>
      <c r="T707" s="199" t="s">
        <v>2298</v>
      </c>
      <c r="U707" s="201"/>
      <c r="V707" s="201"/>
      <c r="W707" s="201"/>
      <c r="X707" s="201"/>
      <c r="Y707" s="201"/>
      <c r="Z707" s="202" t="str">
        <f t="shared" si="0"/>
        <v>RLOM Actuators</v>
      </c>
      <c r="AA707" s="174"/>
      <c r="AB707" s="147"/>
      <c r="AC707" s="147"/>
      <c r="AD707" s="147"/>
      <c r="AE707" s="147"/>
      <c r="AF707" s="147"/>
      <c r="AG707" s="147"/>
      <c r="AH707" s="147"/>
      <c r="AI707" s="147"/>
      <c r="AJ707" s="147"/>
      <c r="AK707" s="147"/>
      <c r="AL707" s="147"/>
      <c r="AM707" s="147"/>
      <c r="AN707" s="147"/>
    </row>
    <row r="708" spans="1:40" ht="24" customHeight="1">
      <c r="A708" s="239">
        <v>5</v>
      </c>
      <c r="B708" s="239" t="s">
        <v>1676</v>
      </c>
      <c r="C708" s="239">
        <v>55</v>
      </c>
      <c r="D708" s="193" t="s">
        <v>2476</v>
      </c>
      <c r="E708" s="193">
        <v>553</v>
      </c>
      <c r="F708" s="193" t="s">
        <v>2477</v>
      </c>
      <c r="G708" s="193" t="s">
        <v>2478</v>
      </c>
      <c r="H708" s="212" t="str">
        <f>HYPERLINK("http://bsdd.buildingsmart.org/#concept/details/3QnoicYaLFbRRwE368CRqJ","3QnoicYaLFbRRwE368CRqJ")</f>
        <v>3QnoicYaLFbRRwE368CRqJ</v>
      </c>
      <c r="I708" s="123" t="s">
        <v>2479</v>
      </c>
      <c r="J708" s="195" t="s">
        <v>4656</v>
      </c>
      <c r="K708" s="191"/>
      <c r="L708" s="249" t="str">
        <f t="shared" ca="1" si="27"/>
        <v>substation C-node</v>
      </c>
      <c r="M708" s="210"/>
      <c r="N708" s="203" t="s">
        <v>2480</v>
      </c>
      <c r="O708" s="203" t="s">
        <v>2482</v>
      </c>
      <c r="P708" s="191" t="s">
        <v>2485</v>
      </c>
      <c r="Q708" s="192" t="s">
        <v>1854</v>
      </c>
      <c r="R708" s="192" t="s">
        <v>1855</v>
      </c>
      <c r="S708" s="206" t="s">
        <v>2486</v>
      </c>
      <c r="T708" s="199" t="s">
        <v>2487</v>
      </c>
      <c r="U708" s="201"/>
      <c r="V708" s="201"/>
      <c r="W708" s="201"/>
      <c r="X708" s="201"/>
      <c r="Y708" s="201"/>
      <c r="Z708" s="202" t="str">
        <f t="shared" si="0"/>
        <v>RLOM AudioVisualAppliances</v>
      </c>
      <c r="AA708" s="174"/>
      <c r="AB708" s="147"/>
      <c r="AC708" s="147"/>
      <c r="AD708" s="147"/>
      <c r="AE708" s="147"/>
      <c r="AF708" s="147"/>
      <c r="AG708" s="147"/>
      <c r="AH708" s="147"/>
      <c r="AI708" s="147"/>
      <c r="AJ708" s="147"/>
      <c r="AK708" s="147"/>
      <c r="AL708" s="147"/>
      <c r="AM708" s="147"/>
      <c r="AN708" s="147"/>
    </row>
    <row r="709" spans="1:40" ht="18" customHeight="1">
      <c r="A709" s="239">
        <v>5</v>
      </c>
      <c r="B709" s="239" t="s">
        <v>1676</v>
      </c>
      <c r="C709" s="239">
        <v>55</v>
      </c>
      <c r="D709" s="193" t="s">
        <v>2476</v>
      </c>
      <c r="E709" s="193">
        <v>553</v>
      </c>
      <c r="F709" s="193" t="s">
        <v>2477</v>
      </c>
      <c r="G709" s="193" t="s">
        <v>2478</v>
      </c>
      <c r="H709" s="212" t="str">
        <f>HYPERLINK("http://bsdd.buildingsmart.org/#concept/details/30u9KRgk12aeJT6TCK7C04","30u9KRgk12aeJT6TCK7C04")</f>
        <v>30u9KRgk12aeJT6TCK7C04</v>
      </c>
      <c r="I709" s="123" t="s">
        <v>2491</v>
      </c>
      <c r="J709" s="195" t="s">
        <v>4657</v>
      </c>
      <c r="K709" s="191"/>
      <c r="L709" s="248" t="s">
        <v>4658</v>
      </c>
      <c r="M709" s="210"/>
      <c r="N709" s="203" t="s">
        <v>2480</v>
      </c>
      <c r="O709" s="203" t="s">
        <v>2482</v>
      </c>
      <c r="P709" s="191" t="s">
        <v>2485</v>
      </c>
      <c r="Q709" s="192" t="s">
        <v>1854</v>
      </c>
      <c r="R709" s="192" t="s">
        <v>1855</v>
      </c>
      <c r="S709" s="206" t="s">
        <v>2486</v>
      </c>
      <c r="T709" s="199"/>
      <c r="U709" s="201"/>
      <c r="V709" s="201"/>
      <c r="W709" s="201"/>
      <c r="X709" s="201"/>
      <c r="Y709" s="201"/>
      <c r="Z709" s="202" t="str">
        <f t="shared" si="0"/>
        <v>RLOM AudioVisualAppliances</v>
      </c>
      <c r="AA709" s="174"/>
      <c r="AB709" s="147"/>
      <c r="AC709" s="147"/>
      <c r="AD709" s="147"/>
      <c r="AE709" s="147"/>
      <c r="AF709" s="147"/>
      <c r="AG709" s="147"/>
      <c r="AH709" s="147"/>
      <c r="AI709" s="147"/>
      <c r="AJ709" s="147"/>
      <c r="AK709" s="147"/>
      <c r="AL709" s="147"/>
      <c r="AM709" s="147"/>
      <c r="AN709" s="147"/>
    </row>
    <row r="710" spans="1:40" ht="18" customHeight="1">
      <c r="A710" s="239">
        <v>5</v>
      </c>
      <c r="B710" s="239" t="s">
        <v>1676</v>
      </c>
      <c r="C710" s="239">
        <v>55</v>
      </c>
      <c r="D710" s="193" t="s">
        <v>2476</v>
      </c>
      <c r="E710" s="193">
        <v>553</v>
      </c>
      <c r="F710" s="193" t="s">
        <v>2477</v>
      </c>
      <c r="G710" s="193" t="s">
        <v>2478</v>
      </c>
      <c r="H710" s="212" t="str">
        <f>HYPERLINK("http://bsdd.buildingsmart.org/#concept/details/28eK$GHjbBqwKi0iJczU1k","28eK$GHjbBqwKi0iJczU1k")</f>
        <v>28eK$GHjbBqwKi0iJczU1k</v>
      </c>
      <c r="I710" s="123" t="s">
        <v>5190</v>
      </c>
      <c r="J710" s="195" t="s">
        <v>4659</v>
      </c>
      <c r="K710" s="191"/>
      <c r="L710" s="248" t="s">
        <v>4660</v>
      </c>
      <c r="M710" s="210"/>
      <c r="N710" s="203" t="s">
        <v>2480</v>
      </c>
      <c r="O710" s="203" t="s">
        <v>2482</v>
      </c>
      <c r="P710" s="191" t="s">
        <v>2485</v>
      </c>
      <c r="Q710" s="192" t="s">
        <v>1854</v>
      </c>
      <c r="R710" s="192" t="s">
        <v>1855</v>
      </c>
      <c r="S710" s="206" t="s">
        <v>2486</v>
      </c>
      <c r="T710" s="199"/>
      <c r="U710" s="201"/>
      <c r="V710" s="201"/>
      <c r="W710" s="201"/>
      <c r="X710" s="201"/>
      <c r="Y710" s="201"/>
      <c r="Z710" s="202" t="str">
        <f t="shared" si="0"/>
        <v>RLOM AudioVisualAppliances</v>
      </c>
      <c r="AA710" s="174"/>
      <c r="AB710" s="147"/>
      <c r="AC710" s="147"/>
      <c r="AD710" s="147"/>
      <c r="AE710" s="147"/>
      <c r="AF710" s="147"/>
      <c r="AG710" s="147"/>
      <c r="AH710" s="147"/>
      <c r="AI710" s="147"/>
      <c r="AJ710" s="147"/>
      <c r="AK710" s="147"/>
      <c r="AL710" s="147"/>
      <c r="AM710" s="147"/>
      <c r="AN710" s="147"/>
    </row>
    <row r="711" spans="1:40" ht="18" customHeight="1">
      <c r="A711" s="239">
        <v>5</v>
      </c>
      <c r="B711" s="239" t="s">
        <v>1676</v>
      </c>
      <c r="C711" s="239">
        <v>55</v>
      </c>
      <c r="D711" s="193" t="s">
        <v>2476</v>
      </c>
      <c r="E711" s="193">
        <v>553</v>
      </c>
      <c r="F711" s="193" t="s">
        <v>2477</v>
      </c>
      <c r="G711" s="193" t="s">
        <v>2478</v>
      </c>
      <c r="H711" s="212" t="str">
        <f>HYPERLINK("http://bsdd.buildingsmart.org/#concept/details/2Oex0AWJmHu000025QrE$V","2Oex0AWJmHu000025QrE$V")</f>
        <v>2Oex0AWJmHu000025QrE$V</v>
      </c>
      <c r="I711" s="123" t="s">
        <v>2522</v>
      </c>
      <c r="J711" s="195" t="s">
        <v>4661</v>
      </c>
      <c r="K711" s="191"/>
      <c r="L711" s="248" t="s">
        <v>4662</v>
      </c>
      <c r="M711" s="210"/>
      <c r="N711" s="203" t="s">
        <v>2480</v>
      </c>
      <c r="O711" s="203" t="s">
        <v>2482</v>
      </c>
      <c r="P711" s="191" t="s">
        <v>2485</v>
      </c>
      <c r="Q711" s="192" t="s">
        <v>1854</v>
      </c>
      <c r="R711" s="192" t="s">
        <v>1855</v>
      </c>
      <c r="S711" s="206" t="s">
        <v>2486</v>
      </c>
      <c r="T711" s="199"/>
      <c r="U711" s="201"/>
      <c r="V711" s="201"/>
      <c r="W711" s="201"/>
      <c r="X711" s="201"/>
      <c r="Y711" s="201"/>
      <c r="Z711" s="202" t="str">
        <f t="shared" si="0"/>
        <v>RLOM AudioVisualAppliances</v>
      </c>
      <c r="AA711" s="174"/>
      <c r="AB711" s="147"/>
      <c r="AC711" s="147"/>
      <c r="AD711" s="147"/>
      <c r="AE711" s="147"/>
      <c r="AF711" s="147"/>
      <c r="AG711" s="147"/>
      <c r="AH711" s="147"/>
      <c r="AI711" s="147"/>
      <c r="AJ711" s="147"/>
      <c r="AK711" s="147"/>
      <c r="AL711" s="147"/>
      <c r="AM711" s="147"/>
      <c r="AN711" s="147"/>
    </row>
    <row r="712" spans="1:40" ht="18" customHeight="1">
      <c r="A712" s="239">
        <v>5</v>
      </c>
      <c r="B712" s="239" t="s">
        <v>1676</v>
      </c>
      <c r="C712" s="239">
        <v>55</v>
      </c>
      <c r="D712" s="193" t="s">
        <v>2476</v>
      </c>
      <c r="E712" s="193">
        <v>553</v>
      </c>
      <c r="F712" s="193" t="s">
        <v>2477</v>
      </c>
      <c r="G712" s="193" t="s">
        <v>2478</v>
      </c>
      <c r="H712" s="212" t="str">
        <f>HYPERLINK("http://bsdd.buildingsmart.org/#concept/details/15qmgAnkrBhv4CI3Oznm_S","15qmgAnkrBhv4CI3Oznm_S")</f>
        <v>15qmgAnkrBhv4CI3Oznm_S</v>
      </c>
      <c r="I712" s="123" t="s">
        <v>5191</v>
      </c>
      <c r="J712" s="195" t="s">
        <v>4663</v>
      </c>
      <c r="K712" s="191"/>
      <c r="L712" s="248" t="s">
        <v>4664</v>
      </c>
      <c r="M712" s="210"/>
      <c r="N712" s="203" t="s">
        <v>2480</v>
      </c>
      <c r="O712" s="203" t="s">
        <v>2482</v>
      </c>
      <c r="P712" s="191" t="s">
        <v>2485</v>
      </c>
      <c r="Q712" s="192" t="s">
        <v>1854</v>
      </c>
      <c r="R712" s="192" t="s">
        <v>1855</v>
      </c>
      <c r="S712" s="206" t="s">
        <v>2486</v>
      </c>
      <c r="T712" s="199"/>
      <c r="U712" s="201"/>
      <c r="V712" s="201"/>
      <c r="W712" s="201"/>
      <c r="X712" s="201"/>
      <c r="Y712" s="201"/>
      <c r="Z712" s="202" t="str">
        <f t="shared" si="0"/>
        <v>RLOM AudioVisualAppliances</v>
      </c>
      <c r="AA712" s="174"/>
      <c r="AB712" s="147"/>
      <c r="AC712" s="147"/>
      <c r="AD712" s="147"/>
      <c r="AE712" s="147"/>
      <c r="AF712" s="147"/>
      <c r="AG712" s="147"/>
      <c r="AH712" s="147"/>
      <c r="AI712" s="147"/>
      <c r="AJ712" s="147"/>
      <c r="AK712" s="147"/>
      <c r="AL712" s="147"/>
      <c r="AM712" s="147"/>
      <c r="AN712" s="147"/>
    </row>
    <row r="713" spans="1:40" ht="27" customHeight="1">
      <c r="A713" s="239">
        <v>5</v>
      </c>
      <c r="B713" s="239" t="s">
        <v>1676</v>
      </c>
      <c r="C713" s="239">
        <v>55</v>
      </c>
      <c r="D713" s="193" t="s">
        <v>2476</v>
      </c>
      <c r="E713" s="193">
        <v>555</v>
      </c>
      <c r="F713" s="193" t="s">
        <v>2539</v>
      </c>
      <c r="G713" s="193" t="s">
        <v>2540</v>
      </c>
      <c r="H713" s="212" t="str">
        <f>HYPERLINK("http://bsdd.buildingsmart.org/#concept/details/3vHR$ooT0Hsm00051Mm008","3vHR$ooT0Hsm00051Mm008")</f>
        <v>3vHR$ooT0Hsm00051Mm008</v>
      </c>
      <c r="I713" s="123" t="s">
        <v>1948</v>
      </c>
      <c r="J713" s="195" t="s">
        <v>4665</v>
      </c>
      <c r="K713" s="191"/>
      <c r="L713" s="248" t="s">
        <v>4666</v>
      </c>
      <c r="M713" s="210"/>
      <c r="N713" s="203" t="s">
        <v>1947</v>
      </c>
      <c r="O713" s="203" t="s">
        <v>1948</v>
      </c>
      <c r="P713" s="191" t="s">
        <v>1952</v>
      </c>
      <c r="Q713" s="192" t="s">
        <v>1854</v>
      </c>
      <c r="R713" s="192" t="s">
        <v>1855</v>
      </c>
      <c r="S713" s="206" t="s">
        <v>1955</v>
      </c>
      <c r="T713" s="199"/>
      <c r="U713" s="241"/>
      <c r="V713" s="201"/>
      <c r="W713" s="201"/>
      <c r="X713" s="201"/>
      <c r="Y713" s="201"/>
      <c r="Z713" s="202" t="str">
        <f t="shared" si="0"/>
        <v>RLOM AudioVisualAppliances</v>
      </c>
      <c r="AA713" s="174"/>
      <c r="AB713" s="147"/>
      <c r="AC713" s="147"/>
      <c r="AD713" s="147"/>
      <c r="AE713" s="147"/>
      <c r="AF713" s="147"/>
      <c r="AG713" s="147"/>
      <c r="AH713" s="147"/>
      <c r="AI713" s="147"/>
      <c r="AJ713" s="147"/>
      <c r="AK713" s="147"/>
      <c r="AL713" s="147"/>
      <c r="AM713" s="147"/>
      <c r="AN713" s="147"/>
    </row>
    <row r="714" spans="1:40" ht="27" customHeight="1">
      <c r="A714" s="239">
        <v>5</v>
      </c>
      <c r="B714" s="239" t="s">
        <v>1676</v>
      </c>
      <c r="C714" s="239">
        <v>55</v>
      </c>
      <c r="D714" s="193" t="s">
        <v>2476</v>
      </c>
      <c r="E714" s="193">
        <v>555</v>
      </c>
      <c r="F714" s="193" t="s">
        <v>2539</v>
      </c>
      <c r="G714" s="193" t="s">
        <v>2540</v>
      </c>
      <c r="H714" s="212" t="str">
        <f>HYPERLINK("http://bsdd.buildingsmart.org/#concept/details/2L42aAWJmHu000025QrE$V","2L42aAWJmHu000025QrE$V")</f>
        <v>2L42aAWJmHu000025QrE$V</v>
      </c>
      <c r="I714" s="123" t="s">
        <v>2563</v>
      </c>
      <c r="J714" s="195" t="s">
        <v>4667</v>
      </c>
      <c r="K714" s="191"/>
      <c r="L714" s="248" t="s">
        <v>4668</v>
      </c>
      <c r="M714" s="210"/>
      <c r="N714" s="203" t="s">
        <v>2480</v>
      </c>
      <c r="O714" s="203" t="s">
        <v>2482</v>
      </c>
      <c r="P714" s="191" t="s">
        <v>2485</v>
      </c>
      <c r="Q714" s="192" t="s">
        <v>1854</v>
      </c>
      <c r="R714" s="192" t="s">
        <v>1855</v>
      </c>
      <c r="S714" s="206" t="s">
        <v>2565</v>
      </c>
      <c r="T714" s="199"/>
      <c r="U714" s="201"/>
      <c r="V714" s="201"/>
      <c r="W714" s="201"/>
      <c r="X714" s="201"/>
      <c r="Y714" s="201"/>
      <c r="Z714" s="202" t="str">
        <f t="shared" si="0"/>
        <v>RLOM AudioVisualAppliances</v>
      </c>
      <c r="AA714" s="174"/>
      <c r="AB714" s="147"/>
      <c r="AC714" s="147"/>
      <c r="AD714" s="147"/>
      <c r="AE714" s="147"/>
      <c r="AF714" s="147"/>
      <c r="AG714" s="147"/>
      <c r="AH714" s="147"/>
      <c r="AI714" s="147"/>
      <c r="AJ714" s="147"/>
      <c r="AK714" s="147"/>
      <c r="AL714" s="147"/>
      <c r="AM714" s="147"/>
      <c r="AN714" s="147"/>
    </row>
    <row r="715" spans="1:40" ht="45" customHeight="1">
      <c r="A715" s="239">
        <v>5</v>
      </c>
      <c r="B715" s="239" t="s">
        <v>1676</v>
      </c>
      <c r="C715" s="239">
        <v>55</v>
      </c>
      <c r="D715" s="193" t="s">
        <v>2476</v>
      </c>
      <c r="E715" s="193">
        <v>555</v>
      </c>
      <c r="F715" s="193" t="s">
        <v>2539</v>
      </c>
      <c r="G715" s="193" t="s">
        <v>2540</v>
      </c>
      <c r="H715" s="212" t="str">
        <f>HYPERLINK("http://bsdd.buildingsmart.org/#concept/details/2SDL8piSz5meNwPdaqvcYv","2SDL8piSz5meNwPdaqvcYv")</f>
        <v>2SDL8piSz5meNwPdaqvcYv</v>
      </c>
      <c r="I715" s="123" t="s">
        <v>2566</v>
      </c>
      <c r="J715" s="195" t="s">
        <v>4669</v>
      </c>
      <c r="K715" s="191"/>
      <c r="L715" s="248" t="s">
        <v>4670</v>
      </c>
      <c r="M715" s="210"/>
      <c r="N715" s="203" t="s">
        <v>2350</v>
      </c>
      <c r="O715" s="203" t="s">
        <v>2351</v>
      </c>
      <c r="P715" s="191" t="s">
        <v>2352</v>
      </c>
      <c r="Q715" s="192" t="s">
        <v>1854</v>
      </c>
      <c r="R715" s="192" t="s">
        <v>1855</v>
      </c>
      <c r="S715" s="206" t="s">
        <v>1955</v>
      </c>
      <c r="T715" s="199"/>
      <c r="U715" s="201"/>
      <c r="V715" s="201"/>
      <c r="W715" s="201"/>
      <c r="X715" s="201"/>
      <c r="Y715" s="201"/>
      <c r="Z715" s="202" t="str">
        <f t="shared" si="0"/>
        <v>RLOM AudioVisualAppliances</v>
      </c>
      <c r="AA715" s="174"/>
      <c r="AB715" s="147"/>
      <c r="AC715" s="147"/>
      <c r="AD715" s="147"/>
      <c r="AE715" s="147"/>
      <c r="AF715" s="147"/>
      <c r="AG715" s="147"/>
      <c r="AH715" s="147"/>
      <c r="AI715" s="147"/>
      <c r="AJ715" s="147"/>
      <c r="AK715" s="147"/>
      <c r="AL715" s="147"/>
      <c r="AM715" s="147"/>
      <c r="AN715" s="147"/>
    </row>
    <row r="716" spans="1:40" ht="45" customHeight="1">
      <c r="A716" s="239">
        <v>5</v>
      </c>
      <c r="B716" s="239" t="s">
        <v>1676</v>
      </c>
      <c r="C716" s="239">
        <v>55</v>
      </c>
      <c r="D716" s="193" t="s">
        <v>2476</v>
      </c>
      <c r="E716" s="193">
        <v>555</v>
      </c>
      <c r="F716" s="193" t="s">
        <v>2539</v>
      </c>
      <c r="G716" s="193" t="s">
        <v>2540</v>
      </c>
      <c r="H716" s="212" t="str">
        <f>HYPERLINK("http://bsdd.buildingsmart.org/#concept/details/30gbyVtdT6sAP0Pac0zDWX","30gbyVtdT6sAP0Pac0zDWX")</f>
        <v>30gbyVtdT6sAP0Pac0zDWX</v>
      </c>
      <c r="I716" s="123" t="s">
        <v>2570</v>
      </c>
      <c r="J716" s="195" t="s">
        <v>4671</v>
      </c>
      <c r="K716" s="191"/>
      <c r="L716" s="248" t="s">
        <v>4672</v>
      </c>
      <c r="M716" s="210"/>
      <c r="N716" s="203" t="s">
        <v>2350</v>
      </c>
      <c r="O716" s="203" t="s">
        <v>2351</v>
      </c>
      <c r="P716" s="191" t="s">
        <v>2352</v>
      </c>
      <c r="Q716" s="192" t="s">
        <v>1854</v>
      </c>
      <c r="R716" s="192" t="s">
        <v>1855</v>
      </c>
      <c r="S716" s="206" t="s">
        <v>1955</v>
      </c>
      <c r="T716" s="199"/>
      <c r="U716" s="201"/>
      <c r="V716" s="201"/>
      <c r="W716" s="201"/>
      <c r="X716" s="201"/>
      <c r="Y716" s="201"/>
      <c r="Z716" s="202" t="str">
        <f t="shared" si="0"/>
        <v>RLOM AudioVisualAppliances</v>
      </c>
      <c r="AA716" s="174"/>
      <c r="AB716" s="147"/>
      <c r="AC716" s="147"/>
      <c r="AD716" s="147"/>
      <c r="AE716" s="147"/>
      <c r="AF716" s="147"/>
      <c r="AG716" s="147"/>
      <c r="AH716" s="147"/>
      <c r="AI716" s="147"/>
      <c r="AJ716" s="147"/>
      <c r="AK716" s="147"/>
      <c r="AL716" s="147"/>
      <c r="AM716" s="147"/>
      <c r="AN716" s="147"/>
    </row>
    <row r="717" spans="1:40" ht="45" customHeight="1">
      <c r="A717" s="239">
        <v>5</v>
      </c>
      <c r="B717" s="239" t="s">
        <v>1676</v>
      </c>
      <c r="C717" s="239">
        <v>55</v>
      </c>
      <c r="D717" s="193" t="s">
        <v>2476</v>
      </c>
      <c r="E717" s="193">
        <v>555</v>
      </c>
      <c r="F717" s="193" t="s">
        <v>2539</v>
      </c>
      <c r="G717" s="193" t="s">
        <v>2540</v>
      </c>
      <c r="H717" s="212" t="str">
        <f>HYPERLINK("http://bsdd.buildingsmart.org/#concept/details/2ISQrOG_T4p8PNhReNeqll","2ISQrOG_T4p8PNhReNeqll")</f>
        <v>2ISQrOG_T4p8PNhReNeqll</v>
      </c>
      <c r="I717" s="123" t="s">
        <v>2572</v>
      </c>
      <c r="J717" s="195" t="s">
        <v>4673</v>
      </c>
      <c r="K717" s="191"/>
      <c r="L717" s="248" t="s">
        <v>4674</v>
      </c>
      <c r="M717" s="210"/>
      <c r="N717" s="203" t="s">
        <v>2350</v>
      </c>
      <c r="O717" s="203" t="s">
        <v>2351</v>
      </c>
      <c r="P717" s="191" t="s">
        <v>2352</v>
      </c>
      <c r="Q717" s="192" t="s">
        <v>1854</v>
      </c>
      <c r="R717" s="192" t="s">
        <v>1855</v>
      </c>
      <c r="S717" s="206" t="s">
        <v>1955</v>
      </c>
      <c r="T717" s="199"/>
      <c r="U717" s="201"/>
      <c r="V717" s="201"/>
      <c r="W717" s="201"/>
      <c r="X717" s="201"/>
      <c r="Y717" s="201"/>
      <c r="Z717" s="202" t="str">
        <f t="shared" si="0"/>
        <v>RLOM AudioVisualAppliances</v>
      </c>
      <c r="AA717" s="174"/>
      <c r="AB717" s="147"/>
      <c r="AC717" s="147"/>
      <c r="AD717" s="147"/>
      <c r="AE717" s="147"/>
      <c r="AF717" s="147"/>
      <c r="AG717" s="147"/>
      <c r="AH717" s="147"/>
      <c r="AI717" s="147"/>
      <c r="AJ717" s="147"/>
      <c r="AK717" s="147"/>
      <c r="AL717" s="147"/>
      <c r="AM717" s="147"/>
      <c r="AN717" s="147"/>
    </row>
    <row r="718" spans="1:40" ht="54" customHeight="1">
      <c r="A718" s="239">
        <v>5</v>
      </c>
      <c r="B718" s="239" t="s">
        <v>1676</v>
      </c>
      <c r="C718" s="239">
        <v>55</v>
      </c>
      <c r="D718" s="193" t="s">
        <v>2476</v>
      </c>
      <c r="E718" s="193">
        <v>556</v>
      </c>
      <c r="F718" s="193" t="s">
        <v>2585</v>
      </c>
      <c r="G718" s="193" t="s">
        <v>2587</v>
      </c>
      <c r="H718" s="212" t="str">
        <f>HYPERLINK("http://bsdd.buildingsmart.org/#concept/details/0e4Q44xifDMAS6xcPXuxB$","0e4Q44xifDMAS6xcPXuxB$")</f>
        <v>0e4Q44xifDMAS6xcPXuxB$</v>
      </c>
      <c r="I718" s="123" t="s">
        <v>2588</v>
      </c>
      <c r="J718" s="195" t="s">
        <v>4675</v>
      </c>
      <c r="K718" s="191" t="s">
        <v>2589</v>
      </c>
      <c r="L718" s="248" t="s">
        <v>4676</v>
      </c>
      <c r="M718" s="210"/>
      <c r="N718" s="203" t="s">
        <v>2592</v>
      </c>
      <c r="O718" s="203" t="s">
        <v>2597</v>
      </c>
      <c r="P718" s="191" t="s">
        <v>2598</v>
      </c>
      <c r="Q718" s="192" t="s">
        <v>1854</v>
      </c>
      <c r="R718" s="192" t="s">
        <v>1855</v>
      </c>
      <c r="S718" s="206" t="s">
        <v>2324</v>
      </c>
      <c r="T718" s="199"/>
      <c r="U718" s="241"/>
      <c r="V718" s="201"/>
      <c r="W718" s="201"/>
      <c r="X718" s="201"/>
      <c r="Y718" s="201"/>
      <c r="Z718" s="202" t="str">
        <f t="shared" si="0"/>
        <v>RLOM AudioVisualAppliances</v>
      </c>
      <c r="AA718" s="174"/>
      <c r="AB718" s="147"/>
      <c r="AC718" s="147"/>
      <c r="AD718" s="147"/>
      <c r="AE718" s="147"/>
      <c r="AF718" s="147"/>
      <c r="AG718" s="147"/>
      <c r="AH718" s="147"/>
      <c r="AI718" s="147"/>
      <c r="AJ718" s="147"/>
      <c r="AK718" s="147"/>
      <c r="AL718" s="147"/>
      <c r="AM718" s="147"/>
      <c r="AN718" s="147"/>
    </row>
    <row r="719" spans="1:40" ht="54" customHeight="1">
      <c r="A719" s="239">
        <v>5</v>
      </c>
      <c r="B719" s="239" t="s">
        <v>1676</v>
      </c>
      <c r="C719" s="239">
        <v>55</v>
      </c>
      <c r="D719" s="193" t="s">
        <v>2476</v>
      </c>
      <c r="E719" s="193">
        <v>556</v>
      </c>
      <c r="F719" s="193" t="s">
        <v>2585</v>
      </c>
      <c r="G719" s="193" t="s">
        <v>2587</v>
      </c>
      <c r="H719" s="212" t="str">
        <f>HYPERLINK("http://bsdd.buildingsmart.org/#concept/details/2DpVIW5unEsOfBEfvUj4P6","2DpVIW5unEsOfBEfvUj4P6")</f>
        <v>2DpVIW5unEsOfBEfvUj4P6</v>
      </c>
      <c r="I719" s="123" t="s">
        <v>2606</v>
      </c>
      <c r="J719" s="195" t="s">
        <v>4677</v>
      </c>
      <c r="K719" s="191" t="s">
        <v>2610</v>
      </c>
      <c r="L719" s="248" t="s">
        <v>4678</v>
      </c>
      <c r="M719" s="210"/>
      <c r="N719" s="203" t="s">
        <v>2480</v>
      </c>
      <c r="O719" s="203" t="s">
        <v>2482</v>
      </c>
      <c r="P719" s="191" t="s">
        <v>2485</v>
      </c>
      <c r="Q719" s="192" t="s">
        <v>1854</v>
      </c>
      <c r="R719" s="192" t="s">
        <v>1855</v>
      </c>
      <c r="S719" s="206" t="s">
        <v>2486</v>
      </c>
      <c r="T719" s="199"/>
      <c r="U719" s="241"/>
      <c r="V719" s="201"/>
      <c r="W719" s="201"/>
      <c r="X719" s="201"/>
      <c r="Y719" s="201"/>
      <c r="Z719" s="202" t="str">
        <f t="shared" si="0"/>
        <v>RLOM AudioVisualAppliances</v>
      </c>
      <c r="AA719" s="174"/>
      <c r="AB719" s="147"/>
      <c r="AC719" s="147"/>
      <c r="AD719" s="147"/>
      <c r="AE719" s="147"/>
      <c r="AF719" s="147"/>
      <c r="AG719" s="147"/>
      <c r="AH719" s="147"/>
      <c r="AI719" s="147"/>
      <c r="AJ719" s="147"/>
      <c r="AK719" s="147"/>
      <c r="AL719" s="147"/>
      <c r="AM719" s="147"/>
      <c r="AN719" s="147"/>
    </row>
    <row r="720" spans="1:40" ht="54" customHeight="1">
      <c r="A720" s="239">
        <v>5</v>
      </c>
      <c r="B720" s="239" t="s">
        <v>1676</v>
      </c>
      <c r="C720" s="239">
        <v>55</v>
      </c>
      <c r="D720" s="193" t="s">
        <v>2476</v>
      </c>
      <c r="E720" s="193">
        <v>556</v>
      </c>
      <c r="F720" s="193" t="s">
        <v>2585</v>
      </c>
      <c r="G720" s="193" t="s">
        <v>2587</v>
      </c>
      <c r="H720" s="212" t="str">
        <f>HYPERLINK("http://bsdd.buildingsmart.org/#concept/details/1JG$Y0Jcb5MeBZpFUhcAEd","1JG$Y0Jcb5MeBZpFUhcAEd")</f>
        <v>1JG$Y0Jcb5MeBZpFUhcAEd</v>
      </c>
      <c r="I720" s="123" t="s">
        <v>5192</v>
      </c>
      <c r="J720" s="195" t="s">
        <v>4679</v>
      </c>
      <c r="K720" s="191"/>
      <c r="L720" s="248" t="s">
        <v>4680</v>
      </c>
      <c r="M720" s="210"/>
      <c r="N720" s="203" t="s">
        <v>1523</v>
      </c>
      <c r="O720" s="203" t="s">
        <v>1524</v>
      </c>
      <c r="P720" s="191" t="s">
        <v>1525</v>
      </c>
      <c r="Q720" s="192" t="s">
        <v>1526</v>
      </c>
      <c r="R720" s="192" t="s">
        <v>1527</v>
      </c>
      <c r="S720" s="206" t="s">
        <v>2370</v>
      </c>
      <c r="T720" s="199"/>
      <c r="U720" s="201"/>
      <c r="V720" s="201"/>
      <c r="W720" s="201"/>
      <c r="X720" s="201"/>
      <c r="Y720" s="201"/>
      <c r="Z720" s="202" t="str">
        <f t="shared" si="0"/>
        <v>RLOM SwitchingDevices</v>
      </c>
      <c r="AA720" s="174"/>
      <c r="AB720" s="147"/>
      <c r="AC720" s="147"/>
      <c r="AD720" s="147"/>
      <c r="AE720" s="147"/>
      <c r="AF720" s="147"/>
      <c r="AG720" s="147"/>
      <c r="AH720" s="147"/>
      <c r="AI720" s="147"/>
      <c r="AJ720" s="147"/>
      <c r="AK720" s="147"/>
      <c r="AL720" s="147"/>
      <c r="AM720" s="147"/>
      <c r="AN720" s="147"/>
    </row>
    <row r="721" spans="1:40" ht="54" customHeight="1">
      <c r="A721" s="239">
        <v>5</v>
      </c>
      <c r="B721" s="239" t="s">
        <v>1676</v>
      </c>
      <c r="C721" s="239">
        <v>55</v>
      </c>
      <c r="D721" s="193" t="s">
        <v>2476</v>
      </c>
      <c r="E721" s="193">
        <v>556</v>
      </c>
      <c r="F721" s="193" t="s">
        <v>2585</v>
      </c>
      <c r="G721" s="193" t="s">
        <v>2587</v>
      </c>
      <c r="H721" s="212" t="str">
        <f>HYPERLINK("http://bsdd.buildingsmart.org/#concept/details/2AnVw5H5f4ER7dQfC$uIGW","2AnVw5H5f4ER7dQfC$uIGW")</f>
        <v>2AnVw5H5f4ER7dQfC$uIGW</v>
      </c>
      <c r="I721" s="123" t="s">
        <v>2622</v>
      </c>
      <c r="J721" s="195" t="s">
        <v>4681</v>
      </c>
      <c r="K721" s="191" t="s">
        <v>2624</v>
      </c>
      <c r="L721" s="248" t="s">
        <v>4682</v>
      </c>
      <c r="M721" s="210"/>
      <c r="N721" s="203" t="s">
        <v>2592</v>
      </c>
      <c r="O721" s="203" t="s">
        <v>2597</v>
      </c>
      <c r="P721" s="191" t="s">
        <v>2598</v>
      </c>
      <c r="Q721" s="192" t="s">
        <v>1854</v>
      </c>
      <c r="R721" s="192" t="s">
        <v>1855</v>
      </c>
      <c r="S721" s="206" t="s">
        <v>2324</v>
      </c>
      <c r="T721" s="199"/>
      <c r="U721" s="241"/>
      <c r="V721" s="201"/>
      <c r="W721" s="201"/>
      <c r="X721" s="201"/>
      <c r="Y721" s="201"/>
      <c r="Z721" s="202" t="str">
        <f t="shared" si="0"/>
        <v>RLOM AudioVisualAppliances</v>
      </c>
      <c r="AA721" s="174"/>
      <c r="AB721" s="147"/>
      <c r="AC721" s="147"/>
      <c r="AD721" s="147"/>
      <c r="AE721" s="147"/>
      <c r="AF721" s="147"/>
      <c r="AG721" s="147"/>
      <c r="AH721" s="147"/>
      <c r="AI721" s="147"/>
      <c r="AJ721" s="147"/>
      <c r="AK721" s="147"/>
      <c r="AL721" s="147"/>
      <c r="AM721" s="147"/>
      <c r="AN721" s="147"/>
    </row>
    <row r="722" spans="1:40" ht="54" customHeight="1">
      <c r="A722" s="239">
        <v>5</v>
      </c>
      <c r="B722" s="239" t="s">
        <v>1676</v>
      </c>
      <c r="C722" s="239">
        <v>55</v>
      </c>
      <c r="D722" s="193" t="s">
        <v>2476</v>
      </c>
      <c r="E722" s="193">
        <v>556</v>
      </c>
      <c r="F722" s="193" t="s">
        <v>2585</v>
      </c>
      <c r="G722" s="193" t="s">
        <v>2587</v>
      </c>
      <c r="H722" s="212" t="str">
        <f>HYPERLINK("http://bsdd.buildingsmart.org/#concept/details/0OEjVIA2DEQ92D_Lg2BUe7","0OEjVIA2DEQ92D_Lg2BUe7")</f>
        <v>0OEjVIA2DEQ92D_Lg2BUe7</v>
      </c>
      <c r="I722" s="123" t="s">
        <v>2638</v>
      </c>
      <c r="J722" s="195" t="s">
        <v>4683</v>
      </c>
      <c r="K722" s="191" t="s">
        <v>2639</v>
      </c>
      <c r="L722" s="248" t="s">
        <v>4684</v>
      </c>
      <c r="M722" s="210"/>
      <c r="N722" s="203" t="s">
        <v>2592</v>
      </c>
      <c r="O722" s="203" t="s">
        <v>2597</v>
      </c>
      <c r="P722" s="191" t="s">
        <v>2598</v>
      </c>
      <c r="Q722" s="192" t="s">
        <v>1854</v>
      </c>
      <c r="R722" s="192" t="s">
        <v>1855</v>
      </c>
      <c r="S722" s="206" t="s">
        <v>2324</v>
      </c>
      <c r="T722" s="199"/>
      <c r="U722" s="241"/>
      <c r="V722" s="201"/>
      <c r="W722" s="201"/>
      <c r="X722" s="201"/>
      <c r="Y722" s="201"/>
      <c r="Z722" s="202" t="str">
        <f t="shared" si="0"/>
        <v>RLOM AudioVisualAppliances</v>
      </c>
      <c r="AA722" s="174"/>
      <c r="AB722" s="147"/>
      <c r="AC722" s="147"/>
      <c r="AD722" s="147"/>
      <c r="AE722" s="147"/>
      <c r="AF722" s="147"/>
      <c r="AG722" s="147"/>
      <c r="AH722" s="147"/>
      <c r="AI722" s="147"/>
      <c r="AJ722" s="147"/>
      <c r="AK722" s="147"/>
      <c r="AL722" s="147"/>
      <c r="AM722" s="147"/>
      <c r="AN722" s="147"/>
    </row>
    <row r="723" spans="1:40" ht="54" customHeight="1">
      <c r="A723" s="239">
        <v>5</v>
      </c>
      <c r="B723" s="239" t="s">
        <v>1676</v>
      </c>
      <c r="C723" s="239">
        <v>55</v>
      </c>
      <c r="D723" s="193" t="s">
        <v>2476</v>
      </c>
      <c r="E723" s="193">
        <v>556</v>
      </c>
      <c r="F723" s="193" t="s">
        <v>2585</v>
      </c>
      <c r="G723" s="193" t="s">
        <v>2587</v>
      </c>
      <c r="H723" s="212" t="str">
        <f>HYPERLINK("http://bsdd.buildingsmart.org/#concept/details/3$pQuEyAr3Fh8kjXbNVRcS","3$pQuEyAr3Fh8kjXbNVRcS")</f>
        <v>3$pQuEyAr3Fh8kjXbNVRcS</v>
      </c>
      <c r="I723" s="123" t="s">
        <v>2647</v>
      </c>
      <c r="J723" s="195" t="s">
        <v>4685</v>
      </c>
      <c r="K723" s="191"/>
      <c r="L723" s="249" t="str">
        <f t="shared" ref="L723:L727" ca="1" si="28">IFERROR(__xludf.DUMMYFUNCTION(GOOGLETRANSLATE(J723,"no","en")),"receiver antenna")</f>
        <v>receiver antenna</v>
      </c>
      <c r="M723" s="210"/>
      <c r="N723" s="203" t="s">
        <v>1135</v>
      </c>
      <c r="O723" s="203" t="s">
        <v>1137</v>
      </c>
      <c r="P723" s="191" t="s">
        <v>1139</v>
      </c>
      <c r="Q723" s="192" t="s">
        <v>1140</v>
      </c>
      <c r="R723" s="192" t="s">
        <v>1141</v>
      </c>
      <c r="S723" s="206" t="s">
        <v>1142</v>
      </c>
      <c r="T723" s="199"/>
      <c r="U723" s="242"/>
      <c r="V723" s="201"/>
      <c r="W723" s="201"/>
      <c r="X723" s="201"/>
      <c r="Y723" s="201"/>
      <c r="Z723" s="202" t="str">
        <f t="shared" si="0"/>
        <v>RLOM CommunicationsAppliances</v>
      </c>
      <c r="AA723" s="174"/>
      <c r="AB723" s="147"/>
      <c r="AC723" s="147"/>
      <c r="AD723" s="147"/>
      <c r="AE723" s="147"/>
      <c r="AF723" s="147"/>
      <c r="AG723" s="147"/>
      <c r="AH723" s="147"/>
      <c r="AI723" s="147"/>
      <c r="AJ723" s="147"/>
      <c r="AK723" s="147"/>
      <c r="AL723" s="147"/>
      <c r="AM723" s="147"/>
      <c r="AN723" s="147"/>
    </row>
    <row r="724" spans="1:40" ht="54" customHeight="1">
      <c r="A724" s="239">
        <v>5</v>
      </c>
      <c r="B724" s="239" t="s">
        <v>1676</v>
      </c>
      <c r="C724" s="239">
        <v>55</v>
      </c>
      <c r="D724" s="193" t="s">
        <v>2476</v>
      </c>
      <c r="E724" s="193">
        <v>556</v>
      </c>
      <c r="F724" s="193" t="s">
        <v>2585</v>
      </c>
      <c r="G724" s="193" t="s">
        <v>2587</v>
      </c>
      <c r="H724" s="212" t="str">
        <f>HYPERLINK("http://bsdd.buildingsmart.org/#concept/details/33VRDpkp5F3enGfQih$rYJ","33VRDpkp5F3enGfQih$rYJ")</f>
        <v>33VRDpkp5F3enGfQih$rYJ</v>
      </c>
      <c r="I724" s="123" t="s">
        <v>5193</v>
      </c>
      <c r="J724" s="195" t="s">
        <v>4686</v>
      </c>
      <c r="K724" s="191" t="s">
        <v>2666</v>
      </c>
      <c r="L724" s="249" t="str">
        <f t="shared" ca="1" si="28"/>
        <v>receiver antenna</v>
      </c>
      <c r="M724" s="210"/>
      <c r="N724" s="203" t="s">
        <v>1135</v>
      </c>
      <c r="O724" s="203" t="s">
        <v>1137</v>
      </c>
      <c r="P724" s="191" t="s">
        <v>1139</v>
      </c>
      <c r="Q724" s="192" t="s">
        <v>1140</v>
      </c>
      <c r="R724" s="192" t="s">
        <v>1141</v>
      </c>
      <c r="S724" s="206" t="s">
        <v>1142</v>
      </c>
      <c r="T724" s="199"/>
      <c r="U724" s="242"/>
      <c r="V724" s="201"/>
      <c r="W724" s="201"/>
      <c r="X724" s="201"/>
      <c r="Y724" s="201"/>
      <c r="Z724" s="202" t="str">
        <f t="shared" si="0"/>
        <v>RLOM CommunicationsAppliances</v>
      </c>
      <c r="AA724" s="174"/>
      <c r="AB724" s="147"/>
      <c r="AC724" s="147"/>
      <c r="AD724" s="147"/>
      <c r="AE724" s="147"/>
      <c r="AF724" s="147"/>
      <c r="AG724" s="147"/>
      <c r="AH724" s="147"/>
      <c r="AI724" s="147"/>
      <c r="AJ724" s="147"/>
      <c r="AK724" s="147"/>
      <c r="AL724" s="147"/>
      <c r="AM724" s="147"/>
      <c r="AN724" s="147"/>
    </row>
    <row r="725" spans="1:40" ht="54" customHeight="1">
      <c r="A725" s="239">
        <v>5</v>
      </c>
      <c r="B725" s="239" t="s">
        <v>1676</v>
      </c>
      <c r="C725" s="239">
        <v>55</v>
      </c>
      <c r="D725" s="193" t="s">
        <v>2476</v>
      </c>
      <c r="E725" s="193">
        <v>556</v>
      </c>
      <c r="F725" s="193" t="s">
        <v>2585</v>
      </c>
      <c r="G725" s="193" t="s">
        <v>2587</v>
      </c>
      <c r="H725" s="212" t="str">
        <f>HYPERLINK("http://bsdd.buildingsmart.org/#concept/details/1vEphZhb12CBpZCf5g5F9F","1vEphZhb12CBpZCf5g5F9F")</f>
        <v>1vEphZhb12CBpZCf5g5F9F</v>
      </c>
      <c r="I725" s="123" t="s">
        <v>2676</v>
      </c>
      <c r="J725" s="195" t="s">
        <v>4687</v>
      </c>
      <c r="K725" s="191" t="s">
        <v>2677</v>
      </c>
      <c r="L725" s="249" t="str">
        <f t="shared" ca="1" si="28"/>
        <v>receiver antenna</v>
      </c>
      <c r="M725" s="210"/>
      <c r="N725" s="203" t="s">
        <v>1551</v>
      </c>
      <c r="O725" s="203" t="s">
        <v>1552</v>
      </c>
      <c r="P725" s="191" t="s">
        <v>1553</v>
      </c>
      <c r="Q725" s="192" t="s">
        <v>1854</v>
      </c>
      <c r="R725" s="192" t="s">
        <v>1855</v>
      </c>
      <c r="S725" s="206" t="s">
        <v>2324</v>
      </c>
      <c r="T725" s="199" t="s">
        <v>2680</v>
      </c>
      <c r="U725" s="201"/>
      <c r="V725" s="201"/>
      <c r="W725" s="201"/>
      <c r="X725" s="201"/>
      <c r="Y725" s="201"/>
      <c r="Z725" s="202" t="str">
        <f t="shared" si="0"/>
        <v>RLOM AudioVisualAppliances</v>
      </c>
      <c r="AA725" s="174"/>
      <c r="AB725" s="147"/>
      <c r="AC725" s="147"/>
      <c r="AD725" s="147"/>
      <c r="AE725" s="147"/>
      <c r="AF725" s="147"/>
      <c r="AG725" s="147"/>
      <c r="AH725" s="147"/>
      <c r="AI725" s="147"/>
      <c r="AJ725" s="147"/>
      <c r="AK725" s="147"/>
      <c r="AL725" s="147"/>
      <c r="AM725" s="147"/>
      <c r="AN725" s="147"/>
    </row>
    <row r="726" spans="1:40" ht="54" customHeight="1">
      <c r="A726" s="239">
        <v>5</v>
      </c>
      <c r="B726" s="239" t="s">
        <v>1676</v>
      </c>
      <c r="C726" s="239">
        <v>55</v>
      </c>
      <c r="D726" s="193" t="s">
        <v>2476</v>
      </c>
      <c r="E726" s="193">
        <v>556</v>
      </c>
      <c r="F726" s="193" t="s">
        <v>2585</v>
      </c>
      <c r="G726" s="193" t="s">
        <v>2587</v>
      </c>
      <c r="H726" s="212" t="str">
        <f>HYPERLINK("http://bsdd.buildingsmart.org/#concept/details/1hjURdHEP4PPItgiBJ_q_4","1hjURdHEP4PPItgiBJ_q_4")</f>
        <v>1hjURdHEP4PPItgiBJ_q_4</v>
      </c>
      <c r="I726" s="123" t="s">
        <v>5194</v>
      </c>
      <c r="J726" s="195" t="s">
        <v>4688</v>
      </c>
      <c r="K726" s="191"/>
      <c r="L726" s="249" t="str">
        <f t="shared" ca="1" si="28"/>
        <v>receiver antenna</v>
      </c>
      <c r="M726" s="210"/>
      <c r="N726" s="203" t="s">
        <v>2687</v>
      </c>
      <c r="O726" s="203" t="s">
        <v>2688</v>
      </c>
      <c r="P726" s="191" t="s">
        <v>2689</v>
      </c>
      <c r="Q726" s="192" t="s">
        <v>1854</v>
      </c>
      <c r="R726" s="192" t="s">
        <v>1855</v>
      </c>
      <c r="S726" s="206" t="s">
        <v>2324</v>
      </c>
      <c r="T726" s="199" t="s">
        <v>2680</v>
      </c>
      <c r="U726" s="201"/>
      <c r="V726" s="201"/>
      <c r="W726" s="201"/>
      <c r="X726" s="201"/>
      <c r="Y726" s="201"/>
      <c r="Z726" s="202" t="str">
        <f t="shared" si="0"/>
        <v>RLOM AudioVisualAppliances</v>
      </c>
      <c r="AA726" s="174"/>
      <c r="AB726" s="147"/>
      <c r="AC726" s="147"/>
      <c r="AD726" s="147"/>
      <c r="AE726" s="147"/>
      <c r="AF726" s="147"/>
      <c r="AG726" s="147"/>
      <c r="AH726" s="147"/>
      <c r="AI726" s="147"/>
      <c r="AJ726" s="147"/>
      <c r="AK726" s="147"/>
      <c r="AL726" s="147"/>
      <c r="AM726" s="147"/>
      <c r="AN726" s="147"/>
    </row>
    <row r="727" spans="1:40" ht="54" customHeight="1">
      <c r="A727" s="239">
        <v>5</v>
      </c>
      <c r="B727" s="239" t="s">
        <v>1676</v>
      </c>
      <c r="C727" s="239">
        <v>55</v>
      </c>
      <c r="D727" s="193" t="s">
        <v>2476</v>
      </c>
      <c r="E727" s="193">
        <v>556</v>
      </c>
      <c r="F727" s="193" t="s">
        <v>2585</v>
      </c>
      <c r="G727" s="193" t="s">
        <v>2587</v>
      </c>
      <c r="H727" s="212" t="str">
        <f>HYPERLINK("http://bsdd.buildingsmart.org/#concept/details/0psPDNEpDFXgHCb$qhjl9b","0psPDNEpDFXgHCb$qhjl9b")</f>
        <v>0psPDNEpDFXgHCb$qhjl9b</v>
      </c>
      <c r="I727" s="123" t="s">
        <v>5195</v>
      </c>
      <c r="J727" s="195" t="s">
        <v>2693</v>
      </c>
      <c r="K727" s="191"/>
      <c r="L727" s="249" t="str">
        <f t="shared" ca="1" si="28"/>
        <v>receiver antenna</v>
      </c>
      <c r="M727" s="210"/>
      <c r="N727" s="203" t="s">
        <v>2687</v>
      </c>
      <c r="O727" s="203" t="s">
        <v>2688</v>
      </c>
      <c r="P727" s="191" t="s">
        <v>2689</v>
      </c>
      <c r="Q727" s="192" t="s">
        <v>1240</v>
      </c>
      <c r="R727" s="192" t="s">
        <v>1241</v>
      </c>
      <c r="S727" s="206" t="s">
        <v>1576</v>
      </c>
      <c r="T727" s="199"/>
      <c r="U727" s="201"/>
      <c r="V727" s="201"/>
      <c r="W727" s="201"/>
      <c r="X727" s="201"/>
      <c r="Y727" s="201"/>
      <c r="Z727" s="202" t="str">
        <f t="shared" si="0"/>
        <v>RLOM UnitaryControlElements</v>
      </c>
      <c r="AA727" s="174"/>
      <c r="AB727" s="147"/>
      <c r="AC727" s="147"/>
      <c r="AD727" s="147"/>
      <c r="AE727" s="147"/>
      <c r="AF727" s="147"/>
      <c r="AG727" s="147"/>
      <c r="AH727" s="147"/>
      <c r="AI727" s="147"/>
      <c r="AJ727" s="147"/>
      <c r="AK727" s="147"/>
      <c r="AL727" s="147"/>
      <c r="AM727" s="147"/>
      <c r="AN727" s="147"/>
    </row>
    <row r="728" spans="1:40" ht="54" customHeight="1">
      <c r="A728" s="239">
        <v>5</v>
      </c>
      <c r="B728" s="239" t="s">
        <v>1676</v>
      </c>
      <c r="C728" s="239">
        <v>55</v>
      </c>
      <c r="D728" s="193" t="s">
        <v>2476</v>
      </c>
      <c r="E728" s="193">
        <v>556</v>
      </c>
      <c r="F728" s="193" t="s">
        <v>2585</v>
      </c>
      <c r="G728" s="193" t="s">
        <v>2587</v>
      </c>
      <c r="H728" s="212" t="str">
        <f>HYPERLINK("http://bsdd.buildingsmart.org/#concept/details/3VLOD72fL6S8gzc_WHzPpW","3VLOD72fL6S8gzc_WHzPpW")</f>
        <v>3VLOD72fL6S8gzc_WHzPpW</v>
      </c>
      <c r="I728" s="123" t="s">
        <v>5196</v>
      </c>
      <c r="J728" s="195" t="s">
        <v>4689</v>
      </c>
      <c r="K728" s="191" t="s">
        <v>2697</v>
      </c>
      <c r="L728" s="248" t="s">
        <v>4690</v>
      </c>
      <c r="M728" s="210"/>
      <c r="N728" s="203" t="s">
        <v>2701</v>
      </c>
      <c r="O728" s="203" t="s">
        <v>2702</v>
      </c>
      <c r="P728" s="191" t="s">
        <v>2704</v>
      </c>
      <c r="Q728" s="192" t="s">
        <v>1014</v>
      </c>
      <c r="R728" s="192" t="s">
        <v>1015</v>
      </c>
      <c r="S728" s="206" t="s">
        <v>2705</v>
      </c>
      <c r="T728" s="199"/>
      <c r="U728" s="201"/>
      <c r="V728" s="201"/>
      <c r="W728" s="201"/>
      <c r="X728" s="201"/>
      <c r="Y728" s="201"/>
      <c r="Z728" s="202" t="str">
        <f t="shared" si="0"/>
        <v>RLOM JunctionBoxs</v>
      </c>
      <c r="AA728" s="174"/>
      <c r="AB728" s="147"/>
      <c r="AC728" s="147"/>
      <c r="AD728" s="147"/>
      <c r="AE728" s="147"/>
      <c r="AF728" s="147"/>
      <c r="AG728" s="147"/>
      <c r="AH728" s="147"/>
      <c r="AI728" s="147"/>
      <c r="AJ728" s="147"/>
      <c r="AK728" s="147"/>
      <c r="AL728" s="147"/>
      <c r="AM728" s="147"/>
      <c r="AN728" s="147"/>
    </row>
    <row r="729" spans="1:40" ht="54" customHeight="1">
      <c r="A729" s="239">
        <v>5</v>
      </c>
      <c r="B729" s="239" t="s">
        <v>1676</v>
      </c>
      <c r="C729" s="239">
        <v>55</v>
      </c>
      <c r="D729" s="193" t="s">
        <v>2476</v>
      </c>
      <c r="E729" s="193">
        <v>556</v>
      </c>
      <c r="F729" s="193" t="s">
        <v>2585</v>
      </c>
      <c r="G729" s="193" t="s">
        <v>2587</v>
      </c>
      <c r="H729" s="212" t="str">
        <f>HYPERLINK("http://bsdd.buildingsmart.org/#concept/details/20sQCl72989gPxb1pjXos6","20sQCl72989gPxb1pjXos6")</f>
        <v>20sQCl72989gPxb1pjXos6</v>
      </c>
      <c r="I729" s="123" t="s">
        <v>2706</v>
      </c>
      <c r="J729" s="195" t="s">
        <v>4691</v>
      </c>
      <c r="K729" s="191"/>
      <c r="L729" s="248" t="s">
        <v>4692</v>
      </c>
      <c r="M729" s="210"/>
      <c r="N729" s="203" t="s">
        <v>2708</v>
      </c>
      <c r="O729" s="203" t="s">
        <v>2710</v>
      </c>
      <c r="P729" s="191" t="s">
        <v>2711</v>
      </c>
      <c r="Q729" s="192" t="s">
        <v>1854</v>
      </c>
      <c r="R729" s="192" t="s">
        <v>1855</v>
      </c>
      <c r="S729" s="206" t="s">
        <v>2486</v>
      </c>
      <c r="T729" s="199"/>
      <c r="U729" s="201"/>
      <c r="V729" s="201"/>
      <c r="W729" s="201"/>
      <c r="X729" s="201"/>
      <c r="Y729" s="201"/>
      <c r="Z729" s="202" t="str">
        <f t="shared" si="0"/>
        <v>RLOM AudioVisualAppliances</v>
      </c>
      <c r="AA729" s="174"/>
      <c r="AB729" s="147"/>
      <c r="AC729" s="147"/>
      <c r="AD729" s="147"/>
      <c r="AE729" s="147"/>
      <c r="AF729" s="147"/>
      <c r="AG729" s="147"/>
      <c r="AH729" s="147"/>
      <c r="AI729" s="147"/>
      <c r="AJ729" s="147"/>
      <c r="AK729" s="147"/>
      <c r="AL729" s="147"/>
      <c r="AM729" s="147"/>
      <c r="AN729" s="147"/>
    </row>
    <row r="730" spans="1:40" ht="54" customHeight="1">
      <c r="A730" s="239">
        <v>5</v>
      </c>
      <c r="B730" s="239" t="s">
        <v>1676</v>
      </c>
      <c r="C730" s="239">
        <v>55</v>
      </c>
      <c r="D730" s="193" t="s">
        <v>2476</v>
      </c>
      <c r="E730" s="193">
        <v>556</v>
      </c>
      <c r="F730" s="193" t="s">
        <v>2585</v>
      </c>
      <c r="G730" s="193" t="s">
        <v>2587</v>
      </c>
      <c r="H730" s="212" t="str">
        <f>HYPERLINK("http://bsdd.buildingsmart.org/#concept/details/1VaE30DIj5SRPHISOp53FI","1VaE30DIj5SRPHISOp53FI")</f>
        <v>1VaE30DIj5SRPHISOp53FI</v>
      </c>
      <c r="I730" s="123" t="s">
        <v>2714</v>
      </c>
      <c r="J730" s="195" t="s">
        <v>4693</v>
      </c>
      <c r="K730" s="191"/>
      <c r="L730" s="248" t="s">
        <v>4694</v>
      </c>
      <c r="M730" s="210"/>
      <c r="N730" s="203" t="s">
        <v>2708</v>
      </c>
      <c r="O730" s="203" t="s">
        <v>2710</v>
      </c>
      <c r="P730" s="191" t="s">
        <v>2711</v>
      </c>
      <c r="Q730" s="192" t="s">
        <v>1854</v>
      </c>
      <c r="R730" s="192" t="s">
        <v>1855</v>
      </c>
      <c r="S730" s="206" t="s">
        <v>2722</v>
      </c>
      <c r="T730" s="199"/>
      <c r="U730" s="240"/>
      <c r="V730" s="201"/>
      <c r="W730" s="201"/>
      <c r="X730" s="201"/>
      <c r="Y730" s="201"/>
      <c r="Z730" s="202" t="str">
        <f t="shared" si="0"/>
        <v>RLOM AudioVisualAppliances</v>
      </c>
      <c r="AA730" s="174"/>
      <c r="AB730" s="147"/>
      <c r="AC730" s="147"/>
      <c r="AD730" s="147"/>
      <c r="AE730" s="147"/>
      <c r="AF730" s="147"/>
      <c r="AG730" s="147"/>
      <c r="AH730" s="147"/>
      <c r="AI730" s="147"/>
      <c r="AJ730" s="147"/>
      <c r="AK730" s="147"/>
      <c r="AL730" s="147"/>
      <c r="AM730" s="147"/>
      <c r="AN730" s="147"/>
    </row>
    <row r="731" spans="1:40" ht="54" customHeight="1">
      <c r="A731" s="190">
        <v>2</v>
      </c>
      <c r="B731" s="190" t="s">
        <v>398</v>
      </c>
      <c r="C731" s="190">
        <v>23</v>
      </c>
      <c r="D731" s="191" t="s">
        <v>1371</v>
      </c>
      <c r="E731" s="118">
        <v>562</v>
      </c>
      <c r="F731" s="192" t="s">
        <v>1788</v>
      </c>
      <c r="G731" s="193" t="s">
        <v>1791</v>
      </c>
      <c r="H731" s="222" t="str">
        <f>HYPERLINK("http://bsdd.buildingsmart.org/#concept/details/1GMdmxvbHCr8xJ_SHNEze$","1GMdmxvbHCr8xJ_SHNEze$")</f>
        <v>1GMdmxvbHCr8xJ_SHNEze$</v>
      </c>
      <c r="I731" s="123" t="s">
        <v>1847</v>
      </c>
      <c r="J731" s="195" t="s">
        <v>4695</v>
      </c>
      <c r="K731" s="191"/>
      <c r="L731" s="249" t="str">
        <f ca="1">IFERROR(__xludf.DUMMYFUNCTION(GOOGLETRANSLATE(J731,"no","en")),"rain sensor for shading - rd-20c")</f>
        <v>rain sensor for shading - rd-20c</v>
      </c>
      <c r="M731" s="198"/>
      <c r="N731" s="203" t="s">
        <v>1671</v>
      </c>
      <c r="O731" s="203"/>
      <c r="P731" s="191"/>
      <c r="Q731" s="203" t="s">
        <v>559</v>
      </c>
      <c r="R731" s="203" t="s">
        <v>625</v>
      </c>
      <c r="S731" s="198" t="s">
        <v>1674</v>
      </c>
      <c r="T731" s="203"/>
      <c r="U731" s="200"/>
      <c r="V731" s="200"/>
      <c r="W731" s="200"/>
      <c r="X731" s="226"/>
      <c r="Y731" s="226"/>
      <c r="Z731" s="202" t="str">
        <f t="shared" si="0"/>
        <v>RLOM Sensors</v>
      </c>
      <c r="AA731" s="174"/>
      <c r="AB731" s="147"/>
      <c r="AC731" s="147"/>
      <c r="AD731" s="147"/>
      <c r="AE731" s="147"/>
      <c r="AF731" s="147"/>
      <c r="AG731" s="147"/>
      <c r="AH731" s="147"/>
      <c r="AI731" s="147"/>
      <c r="AJ731" s="147"/>
      <c r="AK731" s="147"/>
      <c r="AL731" s="147"/>
      <c r="AM731" s="147"/>
      <c r="AN731" s="147"/>
    </row>
    <row r="732" spans="1:40" ht="45" customHeight="1">
      <c r="A732" s="239">
        <v>4</v>
      </c>
      <c r="B732" s="239" t="s">
        <v>363</v>
      </c>
      <c r="C732" s="239">
        <v>45</v>
      </c>
      <c r="D732" s="193" t="s">
        <v>1668</v>
      </c>
      <c r="E732" s="193">
        <v>562</v>
      </c>
      <c r="F732" s="193" t="s">
        <v>1668</v>
      </c>
      <c r="G732" s="193"/>
      <c r="H732" s="212" t="str">
        <f>HYPERLINK("http://bsdd.buildingsmart.org/#concept/details/0Mdb_77tH33wUnLSsafw0j","0Mdb_77tH33wUnLSsafw0j")</f>
        <v>0Mdb_77tH33wUnLSsafw0j</v>
      </c>
      <c r="I732" s="123" t="s">
        <v>1669</v>
      </c>
      <c r="J732" s="195" t="s">
        <v>4696</v>
      </c>
      <c r="K732" s="191"/>
      <c r="L732" s="248" t="s">
        <v>4697</v>
      </c>
      <c r="M732" s="210"/>
      <c r="N732" s="203" t="s">
        <v>1671</v>
      </c>
      <c r="O732" s="203" t="s">
        <v>1672</v>
      </c>
      <c r="P732" s="191" t="s">
        <v>1673</v>
      </c>
      <c r="Q732" s="192" t="s">
        <v>559</v>
      </c>
      <c r="R732" s="192" t="s">
        <v>625</v>
      </c>
      <c r="S732" s="206" t="s">
        <v>1674</v>
      </c>
      <c r="T732" s="199"/>
      <c r="U732" s="238"/>
      <c r="V732" s="201"/>
      <c r="W732" s="201"/>
      <c r="X732" s="201"/>
      <c r="Y732" s="201"/>
      <c r="Z732" s="202" t="str">
        <f t="shared" si="0"/>
        <v>RLOM Sensors</v>
      </c>
      <c r="AA732" s="174"/>
      <c r="AB732" s="147"/>
      <c r="AC732" s="147"/>
      <c r="AD732" s="147"/>
      <c r="AE732" s="147"/>
      <c r="AF732" s="147"/>
      <c r="AG732" s="147"/>
      <c r="AH732" s="147"/>
      <c r="AI732" s="147"/>
      <c r="AJ732" s="147"/>
      <c r="AK732" s="147"/>
      <c r="AL732" s="147"/>
      <c r="AM732" s="147"/>
      <c r="AN732" s="147"/>
    </row>
    <row r="733" spans="1:40" ht="27" customHeight="1">
      <c r="A733" s="239">
        <v>5</v>
      </c>
      <c r="B733" s="239" t="s">
        <v>1676</v>
      </c>
      <c r="C733" s="239">
        <v>56</v>
      </c>
      <c r="D733" s="193" t="s">
        <v>1688</v>
      </c>
      <c r="E733" s="193">
        <v>562</v>
      </c>
      <c r="F733" s="193" t="s">
        <v>1691</v>
      </c>
      <c r="G733" s="193" t="s">
        <v>1692</v>
      </c>
      <c r="H733" s="212" t="str">
        <f>HYPERLINK("http://bsdd.buildingsmart.org/#concept/details/19cfZQZBfBlvI1uopLb4$W","19cfZQZBfBlvI1uopLb4$W")</f>
        <v>19cfZQZBfBlvI1uopLb4$W</v>
      </c>
      <c r="I733" s="123" t="s">
        <v>5197</v>
      </c>
      <c r="J733" s="195" t="s">
        <v>4698</v>
      </c>
      <c r="K733" s="191"/>
      <c r="L733" s="248" t="s">
        <v>4699</v>
      </c>
      <c r="M733" s="210"/>
      <c r="N733" s="203" t="s">
        <v>1695</v>
      </c>
      <c r="O733" s="203" t="s">
        <v>1696</v>
      </c>
      <c r="P733" s="191" t="s">
        <v>1698</v>
      </c>
      <c r="Q733" s="192" t="s">
        <v>559</v>
      </c>
      <c r="R733" s="192" t="s">
        <v>625</v>
      </c>
      <c r="S733" s="206" t="s">
        <v>1700</v>
      </c>
      <c r="T733" s="199"/>
      <c r="U733" s="238"/>
      <c r="V733" s="201"/>
      <c r="W733" s="201"/>
      <c r="X733" s="201"/>
      <c r="Y733" s="201"/>
      <c r="Z733" s="202" t="str">
        <f t="shared" si="0"/>
        <v>RLOM Sensors</v>
      </c>
      <c r="AA733" s="174"/>
      <c r="AB733" s="147"/>
      <c r="AC733" s="147"/>
      <c r="AD733" s="147"/>
      <c r="AE733" s="147"/>
      <c r="AF733" s="147"/>
      <c r="AG733" s="147"/>
      <c r="AH733" s="147"/>
      <c r="AI733" s="147"/>
      <c r="AJ733" s="147"/>
      <c r="AK733" s="147"/>
      <c r="AL733" s="147"/>
      <c r="AM733" s="147"/>
      <c r="AN733" s="147"/>
    </row>
    <row r="734" spans="1:40" ht="27" customHeight="1">
      <c r="A734" s="239">
        <v>5</v>
      </c>
      <c r="B734" s="239" t="s">
        <v>1676</v>
      </c>
      <c r="C734" s="239">
        <v>56</v>
      </c>
      <c r="D734" s="193" t="s">
        <v>1688</v>
      </c>
      <c r="E734" s="193">
        <v>562</v>
      </c>
      <c r="F734" s="193" t="s">
        <v>1691</v>
      </c>
      <c r="G734" s="193" t="s">
        <v>1692</v>
      </c>
      <c r="H734" s="212" t="str">
        <f>HYPERLINK("http://bsdd.buildingsmart.org/#concept/details/3bBiul88r27AMSmXNVOmfI","3bBiul88r27AMSmXNVOmfI")</f>
        <v>3bBiul88r27AMSmXNVOmfI</v>
      </c>
      <c r="I734" s="123" t="s">
        <v>2724</v>
      </c>
      <c r="J734" s="195" t="s">
        <v>4700</v>
      </c>
      <c r="K734" s="191"/>
      <c r="L734" s="249" t="s">
        <v>4701</v>
      </c>
      <c r="M734" s="210"/>
      <c r="N734" s="203" t="s">
        <v>1695</v>
      </c>
      <c r="O734" s="203" t="s">
        <v>1696</v>
      </c>
      <c r="P734" s="191" t="s">
        <v>1698</v>
      </c>
      <c r="Q734" s="192" t="s">
        <v>559</v>
      </c>
      <c r="R734" s="192" t="s">
        <v>625</v>
      </c>
      <c r="S734" s="206" t="s">
        <v>1589</v>
      </c>
      <c r="T734" s="199"/>
      <c r="U734" s="201"/>
      <c r="V734" s="201"/>
      <c r="W734" s="201"/>
      <c r="X734" s="201"/>
      <c r="Y734" s="201"/>
      <c r="Z734" s="202" t="str">
        <f t="shared" si="0"/>
        <v>RLOM Sensors</v>
      </c>
      <c r="AA734" s="174"/>
      <c r="AB734" s="147"/>
      <c r="AC734" s="147"/>
      <c r="AD734" s="147"/>
      <c r="AE734" s="147"/>
      <c r="AF734" s="147"/>
      <c r="AG734" s="147"/>
      <c r="AH734" s="147"/>
      <c r="AI734" s="147"/>
      <c r="AJ734" s="147"/>
      <c r="AK734" s="147"/>
      <c r="AL734" s="147"/>
      <c r="AM734" s="147"/>
      <c r="AN734" s="147"/>
    </row>
    <row r="735" spans="1:40" ht="27" customHeight="1">
      <c r="A735" s="239">
        <v>5</v>
      </c>
      <c r="B735" s="239" t="s">
        <v>1676</v>
      </c>
      <c r="C735" s="239">
        <v>56</v>
      </c>
      <c r="D735" s="193" t="s">
        <v>1688</v>
      </c>
      <c r="E735" s="193">
        <v>562</v>
      </c>
      <c r="F735" s="193" t="s">
        <v>1691</v>
      </c>
      <c r="G735" s="193" t="s">
        <v>1692</v>
      </c>
      <c r="H735" s="212" t="str">
        <f>HYPERLINK("http://bsdd.buildingsmart.org/#concept/details/01Y2cAWJSHu000025QrE$V","01Y2cAWJSHu000025QrE$V")</f>
        <v>01Y2cAWJSHu000025QrE$V</v>
      </c>
      <c r="I735" s="123" t="s">
        <v>2732</v>
      </c>
      <c r="J735" s="195" t="s">
        <v>4702</v>
      </c>
      <c r="K735" s="191" t="s">
        <v>2733</v>
      </c>
      <c r="L735" s="248" t="s">
        <v>4703</v>
      </c>
      <c r="M735" s="210"/>
      <c r="N735" s="203" t="s">
        <v>1695</v>
      </c>
      <c r="O735" s="203" t="s">
        <v>1696</v>
      </c>
      <c r="P735" s="191" t="s">
        <v>1698</v>
      </c>
      <c r="Q735" s="192" t="s">
        <v>559</v>
      </c>
      <c r="R735" s="192" t="s">
        <v>625</v>
      </c>
      <c r="S735" s="206" t="s">
        <v>2735</v>
      </c>
      <c r="T735" s="199"/>
      <c r="U735" s="201"/>
      <c r="V735" s="201"/>
      <c r="W735" s="201"/>
      <c r="X735" s="201"/>
      <c r="Y735" s="201"/>
      <c r="Z735" s="202" t="str">
        <f t="shared" si="0"/>
        <v>RLOM Sensors</v>
      </c>
      <c r="AA735" s="174"/>
      <c r="AB735" s="147"/>
      <c r="AC735" s="147"/>
      <c r="AD735" s="147"/>
      <c r="AE735" s="147"/>
      <c r="AF735" s="147"/>
      <c r="AG735" s="147"/>
      <c r="AH735" s="147"/>
      <c r="AI735" s="147"/>
      <c r="AJ735" s="147"/>
      <c r="AK735" s="147"/>
      <c r="AL735" s="147"/>
      <c r="AM735" s="147"/>
      <c r="AN735" s="147"/>
    </row>
    <row r="736" spans="1:40" ht="45" customHeight="1">
      <c r="A736" s="239">
        <v>5</v>
      </c>
      <c r="B736" s="239" t="s">
        <v>1676</v>
      </c>
      <c r="C736" s="239">
        <v>56</v>
      </c>
      <c r="D736" s="193" t="s">
        <v>1688</v>
      </c>
      <c r="E736" s="193">
        <v>562</v>
      </c>
      <c r="F736" s="193" t="s">
        <v>1691</v>
      </c>
      <c r="G736" s="193" t="s">
        <v>1692</v>
      </c>
      <c r="H736" s="212" t="str">
        <f>HYPERLINK("http://bsdd.buildingsmart.org/#concept/details/3uZsEHc5nAPxCapRBAly6B","3uZsEHc5nAPxCapRBAly6B")</f>
        <v>3uZsEHc5nAPxCapRBAly6B</v>
      </c>
      <c r="I736" s="123" t="s">
        <v>2740</v>
      </c>
      <c r="J736" s="195" t="s">
        <v>4704</v>
      </c>
      <c r="K736" s="191" t="s">
        <v>2742</v>
      </c>
      <c r="L736" s="249" t="str">
        <f t="shared" ref="L736:L737" ca="1" si="29">IFERROR(__xludf.DUMMYFUNCTION(GOOGLETRANSLATE(J736,"no","en")),"humectant")</f>
        <v>humectant</v>
      </c>
      <c r="M736" s="210"/>
      <c r="N736" s="203" t="s">
        <v>1671</v>
      </c>
      <c r="O736" s="203" t="s">
        <v>1672</v>
      </c>
      <c r="P736" s="191" t="s">
        <v>1673</v>
      </c>
      <c r="Q736" s="192" t="s">
        <v>559</v>
      </c>
      <c r="R736" s="192" t="s">
        <v>625</v>
      </c>
      <c r="S736" s="206" t="s">
        <v>2745</v>
      </c>
      <c r="T736" s="199"/>
      <c r="U736" s="200"/>
      <c r="V736" s="201"/>
      <c r="W736" s="201"/>
      <c r="X736" s="201"/>
      <c r="Y736" s="201"/>
      <c r="Z736" s="202" t="str">
        <f t="shared" si="0"/>
        <v>RLOM Sensors</v>
      </c>
      <c r="AA736" s="174"/>
      <c r="AB736" s="147"/>
      <c r="AC736" s="147"/>
      <c r="AD736" s="147"/>
      <c r="AE736" s="147"/>
      <c r="AF736" s="147"/>
      <c r="AG736" s="147"/>
      <c r="AH736" s="147"/>
      <c r="AI736" s="147"/>
      <c r="AJ736" s="147"/>
      <c r="AK736" s="147"/>
      <c r="AL736" s="147"/>
      <c r="AM736" s="147"/>
      <c r="AN736" s="147"/>
    </row>
    <row r="737" spans="1:40" ht="36" customHeight="1">
      <c r="A737" s="239">
        <v>5</v>
      </c>
      <c r="B737" s="239" t="s">
        <v>1676</v>
      </c>
      <c r="C737" s="239">
        <v>56</v>
      </c>
      <c r="D737" s="193" t="s">
        <v>1688</v>
      </c>
      <c r="E737" s="193">
        <v>562</v>
      </c>
      <c r="F737" s="193" t="s">
        <v>1691</v>
      </c>
      <c r="G737" s="193" t="s">
        <v>1692</v>
      </c>
      <c r="H737" s="212" t="str">
        <f>HYPERLINK("http://bsdd.buildingsmart.org/#concept/details/3vHK8_oT0Hsm00051Mm008","3vHK8_oT0Hsm00051Mm008")</f>
        <v>3vHK8_oT0Hsm00051Mm008</v>
      </c>
      <c r="I737" s="123" t="s">
        <v>2754</v>
      </c>
      <c r="J737" s="195" t="s">
        <v>4705</v>
      </c>
      <c r="K737" s="191" t="s">
        <v>2756</v>
      </c>
      <c r="L737" s="249" t="str">
        <f t="shared" ca="1" si="29"/>
        <v>humectant</v>
      </c>
      <c r="M737" s="210"/>
      <c r="N737" s="203" t="s">
        <v>2757</v>
      </c>
      <c r="O737" s="203" t="s">
        <v>2758</v>
      </c>
      <c r="P737" s="191" t="s">
        <v>2760</v>
      </c>
      <c r="Q737" s="192" t="s">
        <v>559</v>
      </c>
      <c r="R737" s="192" t="s">
        <v>625</v>
      </c>
      <c r="S737" s="206" t="s">
        <v>2763</v>
      </c>
      <c r="T737" s="199"/>
      <c r="U737" s="200"/>
      <c r="V737" s="201"/>
      <c r="W737" s="201"/>
      <c r="X737" s="201"/>
      <c r="Y737" s="201"/>
      <c r="Z737" s="202" t="str">
        <f t="shared" si="0"/>
        <v>RLOM Sensors</v>
      </c>
      <c r="AA737" s="174"/>
      <c r="AB737" s="147"/>
      <c r="AC737" s="147"/>
      <c r="AD737" s="147"/>
      <c r="AE737" s="147"/>
      <c r="AF737" s="147"/>
      <c r="AG737" s="147"/>
      <c r="AH737" s="147"/>
      <c r="AI737" s="147"/>
      <c r="AJ737" s="147"/>
      <c r="AK737" s="147"/>
      <c r="AL737" s="147"/>
      <c r="AM737" s="147"/>
      <c r="AN737" s="147"/>
    </row>
    <row r="738" spans="1:40" ht="45" customHeight="1">
      <c r="A738" s="239">
        <v>5</v>
      </c>
      <c r="B738" s="239" t="s">
        <v>1676</v>
      </c>
      <c r="C738" s="239">
        <v>56</v>
      </c>
      <c r="D738" s="193" t="s">
        <v>1688</v>
      </c>
      <c r="E738" s="193">
        <v>562</v>
      </c>
      <c r="F738" s="193" t="s">
        <v>1691</v>
      </c>
      <c r="G738" s="193" t="s">
        <v>1692</v>
      </c>
      <c r="H738" s="212" t="str">
        <f>HYPERLINK("http://bsdd.buildingsmart.org/#concept/details/3gRyGJuov1avcgZ1NacoDp","3gRyGJuov1avcgZ1NacoDp")</f>
        <v>3gRyGJuov1avcgZ1NacoDp</v>
      </c>
      <c r="I738" s="123" t="s">
        <v>2773</v>
      </c>
      <c r="J738" s="195" t="s">
        <v>4706</v>
      </c>
      <c r="K738" s="191" t="s">
        <v>2774</v>
      </c>
      <c r="L738" s="248" t="s">
        <v>4707</v>
      </c>
      <c r="M738" s="210"/>
      <c r="N738" s="203" t="s">
        <v>1517</v>
      </c>
      <c r="O738" s="203" t="s">
        <v>1518</v>
      </c>
      <c r="P738" s="191" t="s">
        <v>1519</v>
      </c>
      <c r="Q738" s="192" t="s">
        <v>559</v>
      </c>
      <c r="R738" s="192" t="s">
        <v>625</v>
      </c>
      <c r="S738" s="206" t="s">
        <v>1146</v>
      </c>
      <c r="T738" s="199"/>
      <c r="U738" s="201"/>
      <c r="V738" s="201"/>
      <c r="W738" s="201"/>
      <c r="X738" s="201"/>
      <c r="Y738" s="201"/>
      <c r="Z738" s="202" t="str">
        <f t="shared" si="0"/>
        <v>RLOM Sensors</v>
      </c>
      <c r="AA738" s="174"/>
      <c r="AB738" s="147"/>
      <c r="AC738" s="147"/>
      <c r="AD738" s="147"/>
      <c r="AE738" s="147"/>
      <c r="AF738" s="147"/>
      <c r="AG738" s="147"/>
      <c r="AH738" s="147"/>
      <c r="AI738" s="147"/>
      <c r="AJ738" s="147"/>
      <c r="AK738" s="147"/>
      <c r="AL738" s="147"/>
      <c r="AM738" s="147"/>
      <c r="AN738" s="147"/>
    </row>
    <row r="739" spans="1:40" ht="27" customHeight="1">
      <c r="A739" s="239">
        <v>5</v>
      </c>
      <c r="B739" s="239" t="s">
        <v>1676</v>
      </c>
      <c r="C739" s="239">
        <v>56</v>
      </c>
      <c r="D739" s="193" t="s">
        <v>1688</v>
      </c>
      <c r="E739" s="193">
        <v>562</v>
      </c>
      <c r="F739" s="193" t="s">
        <v>1691</v>
      </c>
      <c r="G739" s="193" t="s">
        <v>1692</v>
      </c>
      <c r="H739" s="212" t="str">
        <f>HYPERLINK("http://bsdd.buildingsmart.org/#concept/details/00Xw1OvYj8FOM2aW67fADi","00Xw1OvYj8FOM2aW67fADi")</f>
        <v>00Xw1OvYj8FOM2aW67fADi</v>
      </c>
      <c r="I739" s="123" t="s">
        <v>2782</v>
      </c>
      <c r="J739" s="195" t="s">
        <v>4708</v>
      </c>
      <c r="K739" s="191"/>
      <c r="L739" s="249" t="str">
        <f t="shared" ref="L739:L741" ca="1" si="30">IFERROR(__xludf.DUMMYFUNCTION(GOOGLETRANSLATE(J739,"no","en")),"sensor")</f>
        <v>sensor</v>
      </c>
      <c r="M739" s="210"/>
      <c r="N739" s="203" t="s">
        <v>1695</v>
      </c>
      <c r="O739" s="203" t="s">
        <v>1696</v>
      </c>
      <c r="P739" s="191" t="s">
        <v>1698</v>
      </c>
      <c r="Q739" s="192" t="s">
        <v>559</v>
      </c>
      <c r="R739" s="192" t="s">
        <v>625</v>
      </c>
      <c r="S739" s="206" t="s">
        <v>1700</v>
      </c>
      <c r="T739" s="199"/>
      <c r="U739" s="201"/>
      <c r="V739" s="201"/>
      <c r="W739" s="201"/>
      <c r="X739" s="201"/>
      <c r="Y739" s="201"/>
      <c r="Z739" s="202" t="str">
        <f t="shared" si="0"/>
        <v>RLOM Sensors</v>
      </c>
      <c r="AA739" s="174"/>
      <c r="AB739" s="147"/>
      <c r="AC739" s="147"/>
      <c r="AD739" s="147"/>
      <c r="AE739" s="147"/>
      <c r="AF739" s="147"/>
      <c r="AG739" s="147"/>
      <c r="AH739" s="147"/>
      <c r="AI739" s="147"/>
      <c r="AJ739" s="147"/>
      <c r="AK739" s="147"/>
      <c r="AL739" s="147"/>
      <c r="AM739" s="147"/>
      <c r="AN739" s="147"/>
    </row>
    <row r="740" spans="1:40" ht="27" customHeight="1">
      <c r="A740" s="239">
        <v>5</v>
      </c>
      <c r="B740" s="239" t="s">
        <v>1676</v>
      </c>
      <c r="C740" s="239">
        <v>56</v>
      </c>
      <c r="D740" s="193" t="s">
        <v>1688</v>
      </c>
      <c r="E740" s="193">
        <v>562</v>
      </c>
      <c r="F740" s="193" t="s">
        <v>1691</v>
      </c>
      <c r="G740" s="193" t="s">
        <v>1692</v>
      </c>
      <c r="H740" s="212" t="str">
        <f>HYPERLINK("http://bsdd.buildingsmart.org/#concept/details/3n2TOF6pfC2hO8vhlkx_ES","3n2TOF6pfC2hO8vhlkx_ES")</f>
        <v>3n2TOF6pfC2hO8vhlkx_ES</v>
      </c>
      <c r="I740" s="123" t="s">
        <v>5198</v>
      </c>
      <c r="J740" s="195" t="s">
        <v>4709</v>
      </c>
      <c r="K740" s="191" t="s">
        <v>2791</v>
      </c>
      <c r="L740" s="249" t="str">
        <f t="shared" ca="1" si="30"/>
        <v>sensor</v>
      </c>
      <c r="M740" s="210"/>
      <c r="N740" s="203" t="s">
        <v>1695</v>
      </c>
      <c r="O740" s="203" t="s">
        <v>1696</v>
      </c>
      <c r="P740" s="191" t="s">
        <v>1698</v>
      </c>
      <c r="Q740" s="192" t="s">
        <v>559</v>
      </c>
      <c r="R740" s="192" t="s">
        <v>625</v>
      </c>
      <c r="S740" s="206" t="s">
        <v>1700</v>
      </c>
      <c r="T740" s="199"/>
      <c r="U740" s="201"/>
      <c r="V740" s="201"/>
      <c r="W740" s="201"/>
      <c r="X740" s="201"/>
      <c r="Y740" s="201"/>
      <c r="Z740" s="202" t="str">
        <f t="shared" si="0"/>
        <v>RLOM Sensors</v>
      </c>
      <c r="AA740" s="174"/>
      <c r="AB740" s="147"/>
      <c r="AC740" s="147"/>
      <c r="AD740" s="147"/>
      <c r="AE740" s="147"/>
      <c r="AF740" s="147"/>
      <c r="AG740" s="147"/>
      <c r="AH740" s="147"/>
      <c r="AI740" s="147"/>
      <c r="AJ740" s="147"/>
      <c r="AK740" s="147"/>
      <c r="AL740" s="147"/>
      <c r="AM740" s="147"/>
      <c r="AN740" s="147"/>
    </row>
    <row r="741" spans="1:40" ht="36" customHeight="1">
      <c r="A741" s="239">
        <v>5</v>
      </c>
      <c r="B741" s="239" t="s">
        <v>1676</v>
      </c>
      <c r="C741" s="239">
        <v>56</v>
      </c>
      <c r="D741" s="193" t="s">
        <v>1688</v>
      </c>
      <c r="E741" s="193">
        <v>562</v>
      </c>
      <c r="F741" s="193" t="s">
        <v>1691</v>
      </c>
      <c r="G741" s="193" t="s">
        <v>1692</v>
      </c>
      <c r="H741" s="212" t="str">
        <f>HYPERLINK("http://bsdd.buildingsmart.org/#concept/details/3NuW_yxY5B4evFIQCNnwKj","3NuW_yxY5B4evFIQCNnwKj")</f>
        <v>3NuW_yxY5B4evFIQCNnwKj</v>
      </c>
      <c r="I741" s="123" t="s">
        <v>2792</v>
      </c>
      <c r="J741" s="195" t="s">
        <v>4710</v>
      </c>
      <c r="K741" s="191"/>
      <c r="L741" s="249" t="str">
        <f t="shared" ca="1" si="30"/>
        <v>sensor</v>
      </c>
      <c r="M741" s="210"/>
      <c r="N741" s="203" t="s">
        <v>1829</v>
      </c>
      <c r="O741" s="203" t="s">
        <v>2223</v>
      </c>
      <c r="P741" s="191" t="s">
        <v>2224</v>
      </c>
      <c r="Q741" s="192" t="s">
        <v>2225</v>
      </c>
      <c r="R741" s="192" t="s">
        <v>2227</v>
      </c>
      <c r="S741" s="206" t="s">
        <v>2241</v>
      </c>
      <c r="T741" s="199" t="s">
        <v>2242</v>
      </c>
      <c r="U741" s="201"/>
      <c r="V741" s="201"/>
      <c r="W741" s="201"/>
      <c r="X741" s="201"/>
      <c r="Y741" s="201"/>
      <c r="Z741" s="202" t="str">
        <f t="shared" si="0"/>
        <v>RLOM Actuators</v>
      </c>
      <c r="AA741" s="174"/>
      <c r="AB741" s="147"/>
      <c r="AC741" s="147"/>
      <c r="AD741" s="147"/>
      <c r="AE741" s="147"/>
      <c r="AF741" s="147"/>
      <c r="AG741" s="147"/>
      <c r="AH741" s="147"/>
      <c r="AI741" s="147"/>
      <c r="AJ741" s="147"/>
      <c r="AK741" s="147"/>
      <c r="AL741" s="147"/>
      <c r="AM741" s="147"/>
      <c r="AN741" s="147"/>
    </row>
    <row r="742" spans="1:40" ht="36" customHeight="1">
      <c r="A742" s="239">
        <v>5</v>
      </c>
      <c r="B742" s="239" t="s">
        <v>1676</v>
      </c>
      <c r="C742" s="239">
        <v>56</v>
      </c>
      <c r="D742" s="193" t="s">
        <v>1688</v>
      </c>
      <c r="E742" s="193">
        <v>562</v>
      </c>
      <c r="F742" s="193" t="s">
        <v>1691</v>
      </c>
      <c r="G742" s="193" t="s">
        <v>1692</v>
      </c>
      <c r="H742" s="212" t="str">
        <f>HYPERLINK("http://bsdd.buildingsmart.org/#concept/details/3vHQRyoT0Hsm00051Mm008","3vHQRyoT0Hsm00051Mm008")</f>
        <v>3vHQRyoT0Hsm00051Mm008</v>
      </c>
      <c r="I742" s="123" t="s">
        <v>5199</v>
      </c>
      <c r="J742" s="195" t="s">
        <v>4711</v>
      </c>
      <c r="K742" s="191" t="s">
        <v>2804</v>
      </c>
      <c r="L742" s="248" t="s">
        <v>4712</v>
      </c>
      <c r="M742" s="210"/>
      <c r="N742" s="203" t="s">
        <v>619</v>
      </c>
      <c r="O742" s="203" t="s">
        <v>621</v>
      </c>
      <c r="P742" s="191" t="s">
        <v>622</v>
      </c>
      <c r="Q742" s="192" t="s">
        <v>2806</v>
      </c>
      <c r="R742" s="192" t="s">
        <v>2807</v>
      </c>
      <c r="S742" s="206" t="s">
        <v>2808</v>
      </c>
      <c r="T742" s="199"/>
      <c r="U742" s="201"/>
      <c r="V742" s="201"/>
      <c r="W742" s="201"/>
      <c r="X742" s="201"/>
      <c r="Y742" s="201"/>
      <c r="Z742" s="202" t="str">
        <f t="shared" si="0"/>
        <v>RLOM Flowmeters</v>
      </c>
      <c r="AA742" s="174"/>
      <c r="AB742" s="147"/>
      <c r="AC742" s="147"/>
      <c r="AD742" s="147"/>
      <c r="AE742" s="147"/>
      <c r="AF742" s="147"/>
      <c r="AG742" s="147"/>
      <c r="AH742" s="147"/>
      <c r="AI742" s="147"/>
      <c r="AJ742" s="147"/>
      <c r="AK742" s="147"/>
      <c r="AL742" s="147"/>
      <c r="AM742" s="147"/>
      <c r="AN742" s="147"/>
    </row>
    <row r="743" spans="1:40" ht="27" customHeight="1">
      <c r="A743" s="239">
        <v>5</v>
      </c>
      <c r="B743" s="239" t="s">
        <v>1676</v>
      </c>
      <c r="C743" s="239">
        <v>56</v>
      </c>
      <c r="D743" s="193" t="s">
        <v>1688</v>
      </c>
      <c r="E743" s="193">
        <v>562</v>
      </c>
      <c r="F743" s="193" t="s">
        <v>1691</v>
      </c>
      <c r="G743" s="193" t="s">
        <v>1692</v>
      </c>
      <c r="H743" s="212" t="str">
        <f>HYPERLINK("http://bsdd.buildingsmart.org/#concept/details/25CxJbT5X7WgYmMlQAMtdY","25CxJbT5X7WgYmMlQAMtdY")</f>
        <v>25CxJbT5X7WgYmMlQAMtdY</v>
      </c>
      <c r="I743" s="123" t="s">
        <v>5200</v>
      </c>
      <c r="J743" s="195" t="s">
        <v>4713</v>
      </c>
      <c r="K743" s="191" t="s">
        <v>2810</v>
      </c>
      <c r="L743" s="248" t="s">
        <v>4699</v>
      </c>
      <c r="M743" s="210"/>
      <c r="N743" s="203" t="s">
        <v>1695</v>
      </c>
      <c r="O743" s="203" t="s">
        <v>1696</v>
      </c>
      <c r="P743" s="191" t="s">
        <v>1698</v>
      </c>
      <c r="Q743" s="192" t="s">
        <v>559</v>
      </c>
      <c r="R743" s="192" t="s">
        <v>625</v>
      </c>
      <c r="S743" s="206" t="s">
        <v>1700</v>
      </c>
      <c r="T743" s="199"/>
      <c r="U743" s="201"/>
      <c r="V743" s="201"/>
      <c r="W743" s="201"/>
      <c r="X743" s="201"/>
      <c r="Y743" s="201"/>
      <c r="Z743" s="202" t="str">
        <f t="shared" si="0"/>
        <v>RLOM Sensors</v>
      </c>
      <c r="AA743" s="174"/>
      <c r="AB743" s="147"/>
      <c r="AC743" s="147"/>
      <c r="AD743" s="147"/>
      <c r="AE743" s="147"/>
      <c r="AF743" s="147"/>
      <c r="AG743" s="147"/>
      <c r="AH743" s="147"/>
      <c r="AI743" s="147"/>
      <c r="AJ743" s="147"/>
      <c r="AK743" s="147"/>
      <c r="AL743" s="147"/>
      <c r="AM743" s="147"/>
      <c r="AN743" s="147"/>
    </row>
    <row r="744" spans="1:40" ht="27" customHeight="1">
      <c r="A744" s="239">
        <v>5</v>
      </c>
      <c r="B744" s="239" t="s">
        <v>1676</v>
      </c>
      <c r="C744" s="239">
        <v>56</v>
      </c>
      <c r="D744" s="193" t="s">
        <v>1688</v>
      </c>
      <c r="E744" s="193">
        <v>562</v>
      </c>
      <c r="F744" s="193" t="s">
        <v>1691</v>
      </c>
      <c r="G744" s="193" t="s">
        <v>1692</v>
      </c>
      <c r="H744" s="212" t="str">
        <f>HYPERLINK("http://bsdd.buildingsmart.org/#concept/details/1ZX7wgIK11iOexPGWTYuXH","1ZX7wgIK11iOexPGWTYuXH")</f>
        <v>1ZX7wgIK11iOexPGWTYuXH</v>
      </c>
      <c r="I744" s="123" t="s">
        <v>5201</v>
      </c>
      <c r="J744" s="195" t="s">
        <v>4714</v>
      </c>
      <c r="K744" s="191" t="s">
        <v>2817</v>
      </c>
      <c r="L744" s="248" t="s">
        <v>4699</v>
      </c>
      <c r="M744" s="210"/>
      <c r="N744" s="203" t="s">
        <v>1695</v>
      </c>
      <c r="O744" s="203" t="s">
        <v>1696</v>
      </c>
      <c r="P744" s="191" t="s">
        <v>1698</v>
      </c>
      <c r="Q744" s="192" t="s">
        <v>559</v>
      </c>
      <c r="R744" s="192" t="s">
        <v>625</v>
      </c>
      <c r="S744" s="206" t="s">
        <v>1700</v>
      </c>
      <c r="T744" s="199"/>
      <c r="U744" s="201"/>
      <c r="V744" s="201"/>
      <c r="W744" s="201"/>
      <c r="X744" s="201"/>
      <c r="Y744" s="201"/>
      <c r="Z744" s="202" t="str">
        <f t="shared" si="0"/>
        <v>RLOM Sensors</v>
      </c>
      <c r="AA744" s="174"/>
      <c r="AB744" s="147"/>
      <c r="AC744" s="147"/>
      <c r="AD744" s="147"/>
      <c r="AE744" s="147"/>
      <c r="AF744" s="147"/>
      <c r="AG744" s="147"/>
      <c r="AH744" s="147"/>
      <c r="AI744" s="147"/>
      <c r="AJ744" s="147"/>
      <c r="AK744" s="147"/>
      <c r="AL744" s="147"/>
      <c r="AM744" s="147"/>
      <c r="AN744" s="147"/>
    </row>
    <row r="745" spans="1:40" ht="27" customHeight="1">
      <c r="A745" s="239">
        <v>5</v>
      </c>
      <c r="B745" s="239" t="s">
        <v>1676</v>
      </c>
      <c r="C745" s="239">
        <v>56</v>
      </c>
      <c r="D745" s="193" t="s">
        <v>1688</v>
      </c>
      <c r="E745" s="193">
        <v>562</v>
      </c>
      <c r="F745" s="193" t="s">
        <v>1691</v>
      </c>
      <c r="G745" s="193" t="s">
        <v>1692</v>
      </c>
      <c r="H745" s="212" t="str">
        <f>HYPERLINK("http://bsdd.buildingsmart.org/#concept/details/1z9Wz2lzPDAvONwQwCcpVp","1z9Wz2lzPDAvONwQwCcpVp")</f>
        <v>1z9Wz2lzPDAvONwQwCcpVp</v>
      </c>
      <c r="I745" s="123" t="s">
        <v>5202</v>
      </c>
      <c r="J745" s="195" t="s">
        <v>4715</v>
      </c>
      <c r="K745" s="191" t="s">
        <v>2826</v>
      </c>
      <c r="L745" s="248" t="s">
        <v>4699</v>
      </c>
      <c r="M745" s="210"/>
      <c r="N745" s="203" t="s">
        <v>1695</v>
      </c>
      <c r="O745" s="203" t="s">
        <v>1696</v>
      </c>
      <c r="P745" s="191" t="s">
        <v>1698</v>
      </c>
      <c r="Q745" s="192" t="s">
        <v>559</v>
      </c>
      <c r="R745" s="192" t="s">
        <v>625</v>
      </c>
      <c r="S745" s="206" t="s">
        <v>1700</v>
      </c>
      <c r="T745" s="199"/>
      <c r="U745" s="201"/>
      <c r="V745" s="201"/>
      <c r="W745" s="201"/>
      <c r="X745" s="201"/>
      <c r="Y745" s="201"/>
      <c r="Z745" s="202" t="str">
        <f t="shared" si="0"/>
        <v>RLOM Sensors</v>
      </c>
      <c r="AA745" s="174"/>
      <c r="AB745" s="147"/>
      <c r="AC745" s="147"/>
      <c r="AD745" s="147"/>
      <c r="AE745" s="147"/>
      <c r="AF745" s="147"/>
      <c r="AG745" s="147"/>
      <c r="AH745" s="147"/>
      <c r="AI745" s="147"/>
      <c r="AJ745" s="147"/>
      <c r="AK745" s="147"/>
      <c r="AL745" s="147"/>
      <c r="AM745" s="147"/>
      <c r="AN745" s="147"/>
    </row>
    <row r="746" spans="1:40" ht="27" customHeight="1">
      <c r="A746" s="239">
        <v>5</v>
      </c>
      <c r="B746" s="239" t="s">
        <v>1676</v>
      </c>
      <c r="C746" s="239">
        <v>56</v>
      </c>
      <c r="D746" s="193" t="s">
        <v>1688</v>
      </c>
      <c r="E746" s="193">
        <v>562</v>
      </c>
      <c r="F746" s="193" t="s">
        <v>1691</v>
      </c>
      <c r="G746" s="193" t="s">
        <v>1692</v>
      </c>
      <c r="H746" s="212" t="str">
        <f>HYPERLINK("http://bsdd.buildingsmart.org/#concept/details/3vHUueoT0Hsm00051Mm008","3vHUueoT0Hsm00051Mm008")</f>
        <v>3vHUueoT0Hsm00051Mm008</v>
      </c>
      <c r="I746" s="123" t="s">
        <v>2837</v>
      </c>
      <c r="J746" s="195" t="s">
        <v>4716</v>
      </c>
      <c r="K746" s="191"/>
      <c r="L746" s="248" t="s">
        <v>4699</v>
      </c>
      <c r="M746" s="210"/>
      <c r="N746" s="203" t="s">
        <v>1695</v>
      </c>
      <c r="O746" s="203" t="s">
        <v>1696</v>
      </c>
      <c r="P746" s="191" t="s">
        <v>1698</v>
      </c>
      <c r="Q746" s="192" t="s">
        <v>559</v>
      </c>
      <c r="R746" s="192" t="s">
        <v>625</v>
      </c>
      <c r="S746" s="206" t="s">
        <v>1700</v>
      </c>
      <c r="T746" s="199"/>
      <c r="U746" s="201"/>
      <c r="V746" s="201"/>
      <c r="W746" s="201"/>
      <c r="X746" s="201"/>
      <c r="Y746" s="201"/>
      <c r="Z746" s="202" t="str">
        <f t="shared" si="0"/>
        <v>RLOM Sensors</v>
      </c>
      <c r="AA746" s="174"/>
      <c r="AB746" s="147"/>
      <c r="AC746" s="147"/>
      <c r="AD746" s="147"/>
      <c r="AE746" s="147"/>
      <c r="AF746" s="147"/>
      <c r="AG746" s="147"/>
      <c r="AH746" s="147"/>
      <c r="AI746" s="147"/>
      <c r="AJ746" s="147"/>
      <c r="AK746" s="147"/>
      <c r="AL746" s="147"/>
      <c r="AM746" s="147"/>
      <c r="AN746" s="147"/>
    </row>
    <row r="747" spans="1:40" ht="18" customHeight="1">
      <c r="A747" s="239">
        <v>5</v>
      </c>
      <c r="B747" s="239" t="s">
        <v>1676</v>
      </c>
      <c r="C747" s="239">
        <v>56</v>
      </c>
      <c r="D747" s="193" t="s">
        <v>1688</v>
      </c>
      <c r="E747" s="193">
        <v>562</v>
      </c>
      <c r="F747" s="193" t="s">
        <v>1691</v>
      </c>
      <c r="G747" s="193" t="s">
        <v>1692</v>
      </c>
      <c r="H747" s="212" t="str">
        <f>HYPERLINK("http://bsdd.buildingsmart.org/#concept/details/3vHXe6oT0Hsm00051Mm008","3vHXe6oT0Hsm00051Mm008")</f>
        <v>3vHXe6oT0Hsm00051Mm008</v>
      </c>
      <c r="I747" s="123" t="s">
        <v>2845</v>
      </c>
      <c r="J747" s="195" t="s">
        <v>4717</v>
      </c>
      <c r="K747" s="191" t="s">
        <v>2846</v>
      </c>
      <c r="L747" s="248" t="s">
        <v>4718</v>
      </c>
      <c r="M747" s="210"/>
      <c r="N747" s="203" t="s">
        <v>2847</v>
      </c>
      <c r="O747" s="203" t="s">
        <v>2845</v>
      </c>
      <c r="P747" s="191" t="s">
        <v>2848</v>
      </c>
      <c r="Q747" s="192" t="s">
        <v>2849</v>
      </c>
      <c r="R747" s="192" t="s">
        <v>2850</v>
      </c>
      <c r="S747" s="206" t="s">
        <v>2851</v>
      </c>
      <c r="T747" s="199"/>
      <c r="U747" s="200"/>
      <c r="V747" s="201"/>
      <c r="W747" s="201"/>
      <c r="X747" s="201"/>
      <c r="Y747" s="201"/>
      <c r="Z747" s="202" t="str">
        <f t="shared" si="0"/>
        <v>RLOM FlowInstruments</v>
      </c>
      <c r="AA747" s="174"/>
      <c r="AB747" s="147"/>
      <c r="AC747" s="147"/>
      <c r="AD747" s="147"/>
      <c r="AE747" s="147"/>
      <c r="AF747" s="147"/>
      <c r="AG747" s="147"/>
      <c r="AH747" s="147"/>
      <c r="AI747" s="147"/>
      <c r="AJ747" s="147"/>
      <c r="AK747" s="147"/>
      <c r="AL747" s="147"/>
      <c r="AM747" s="147"/>
      <c r="AN747" s="147"/>
    </row>
    <row r="748" spans="1:40" ht="27" customHeight="1">
      <c r="A748" s="239">
        <v>5</v>
      </c>
      <c r="B748" s="239" t="s">
        <v>1676</v>
      </c>
      <c r="C748" s="239">
        <v>56</v>
      </c>
      <c r="D748" s="193" t="s">
        <v>1688</v>
      </c>
      <c r="E748" s="193">
        <v>562</v>
      </c>
      <c r="F748" s="193" t="s">
        <v>1691</v>
      </c>
      <c r="G748" s="193" t="s">
        <v>1692</v>
      </c>
      <c r="H748" s="212" t="str">
        <f>HYPERLINK("http://bsdd.buildingsmart.org/#concept/details/0r$VyLi7L1fhCslLou2NA9","0r$VyLi7L1fhCslLou2NA9")</f>
        <v>0r$VyLi7L1fhCslLou2NA9</v>
      </c>
      <c r="I748" s="123" t="s">
        <v>2686</v>
      </c>
      <c r="J748" s="195" t="s">
        <v>4719</v>
      </c>
      <c r="K748" s="191"/>
      <c r="L748" s="248" t="s">
        <v>4719</v>
      </c>
      <c r="M748" s="210"/>
      <c r="N748" s="203" t="s">
        <v>2687</v>
      </c>
      <c r="O748" s="203" t="s">
        <v>2688</v>
      </c>
      <c r="P748" s="191" t="s">
        <v>2689</v>
      </c>
      <c r="Q748" s="192" t="s">
        <v>1854</v>
      </c>
      <c r="R748" s="192" t="s">
        <v>1855</v>
      </c>
      <c r="S748" s="206" t="s">
        <v>2324</v>
      </c>
      <c r="T748" s="199" t="s">
        <v>2680</v>
      </c>
      <c r="U748" s="201"/>
      <c r="V748" s="201"/>
      <c r="W748" s="201"/>
      <c r="X748" s="201"/>
      <c r="Y748" s="201"/>
      <c r="Z748" s="202" t="str">
        <f t="shared" si="0"/>
        <v>RLOM AudioVisualAppliances</v>
      </c>
      <c r="AA748" s="174"/>
      <c r="AB748" s="147"/>
      <c r="AC748" s="147"/>
      <c r="AD748" s="147"/>
      <c r="AE748" s="147"/>
      <c r="AF748" s="147"/>
      <c r="AG748" s="147"/>
      <c r="AH748" s="147"/>
      <c r="AI748" s="147"/>
      <c r="AJ748" s="147"/>
      <c r="AK748" s="147"/>
      <c r="AL748" s="147"/>
      <c r="AM748" s="147"/>
      <c r="AN748" s="147"/>
    </row>
    <row r="749" spans="1:40" ht="27" customHeight="1">
      <c r="A749" s="239">
        <v>5</v>
      </c>
      <c r="B749" s="239" t="s">
        <v>1676</v>
      </c>
      <c r="C749" s="239">
        <v>56</v>
      </c>
      <c r="D749" s="193" t="s">
        <v>1688</v>
      </c>
      <c r="E749" s="193">
        <v>562</v>
      </c>
      <c r="F749" s="193" t="s">
        <v>1691</v>
      </c>
      <c r="G749" s="193" t="s">
        <v>1692</v>
      </c>
      <c r="H749" s="212" t="str">
        <f>HYPERLINK("http://bsdd.buildingsmart.org/#concept/details/1xDA9cZ7v5FeiGyEcmENke","1xDA9cZ7v5FeiGyEcmENke")</f>
        <v>1xDA9cZ7v5FeiGyEcmENke</v>
      </c>
      <c r="I749" s="123" t="s">
        <v>2858</v>
      </c>
      <c r="J749" s="195" t="s">
        <v>4720</v>
      </c>
      <c r="K749" s="191"/>
      <c r="L749" s="249" t="str">
        <f t="shared" ref="L749:L762" ca="1" si="31">IFERROR(__xludf.DUMMYFUNCTION(GOOGLETRANSLATE(J749,"no","en")),"transformer 230-24 vac")</f>
        <v>transformer 230-24 vac</v>
      </c>
      <c r="M749" s="210"/>
      <c r="N749" s="203" t="s">
        <v>1416</v>
      </c>
      <c r="O749" s="203" t="s">
        <v>1417</v>
      </c>
      <c r="P749" s="191" t="s">
        <v>1419</v>
      </c>
      <c r="Q749" s="192" t="s">
        <v>2340</v>
      </c>
      <c r="R749" s="192" t="s">
        <v>2341</v>
      </c>
      <c r="S749" s="206" t="s">
        <v>2343</v>
      </c>
      <c r="T749" s="199"/>
      <c r="U749" s="201"/>
      <c r="V749" s="201"/>
      <c r="W749" s="201"/>
      <c r="X749" s="201"/>
      <c r="Y749" s="201"/>
      <c r="Z749" s="202" t="str">
        <f t="shared" si="0"/>
        <v>RLOM ElectricMotors</v>
      </c>
      <c r="AA749" s="174"/>
      <c r="AB749" s="147"/>
      <c r="AC749" s="147"/>
      <c r="AD749" s="147"/>
      <c r="AE749" s="147"/>
      <c r="AF749" s="147"/>
      <c r="AG749" s="147"/>
      <c r="AH749" s="147"/>
      <c r="AI749" s="147"/>
      <c r="AJ749" s="147"/>
      <c r="AK749" s="147"/>
      <c r="AL749" s="147"/>
      <c r="AM749" s="147"/>
      <c r="AN749" s="147"/>
    </row>
    <row r="750" spans="1:40" ht="18" customHeight="1">
      <c r="A750" s="239">
        <v>5</v>
      </c>
      <c r="B750" s="239" t="s">
        <v>1676</v>
      </c>
      <c r="C750" s="239">
        <v>56</v>
      </c>
      <c r="D750" s="193" t="s">
        <v>1688</v>
      </c>
      <c r="E750" s="193">
        <v>562</v>
      </c>
      <c r="F750" s="193" t="s">
        <v>1691</v>
      </c>
      <c r="G750" s="193" t="s">
        <v>1692</v>
      </c>
      <c r="H750" s="212" t="str">
        <f>HYPERLINK("http://bsdd.buildingsmart.org/#concept/details/3V1qH9GtH3TRmuA2uz_u82","3V1qH9GtH3TRmuA2uz_u82")</f>
        <v>3V1qH9GtH3TRmuA2uz_u82</v>
      </c>
      <c r="I750" s="123" t="s">
        <v>2863</v>
      </c>
      <c r="J750" s="195" t="s">
        <v>4721</v>
      </c>
      <c r="K750" s="191"/>
      <c r="L750" s="249" t="str">
        <f t="shared" ca="1" si="31"/>
        <v>transformer 230-24 vac</v>
      </c>
      <c r="M750" s="210"/>
      <c r="N750" s="203" t="s">
        <v>2865</v>
      </c>
      <c r="O750" s="203" t="s">
        <v>2866</v>
      </c>
      <c r="P750" s="191" t="s">
        <v>2867</v>
      </c>
      <c r="Q750" s="192" t="s">
        <v>559</v>
      </c>
      <c r="R750" s="192" t="s">
        <v>625</v>
      </c>
      <c r="S750" s="206" t="s">
        <v>2763</v>
      </c>
      <c r="T750" s="199"/>
      <c r="U750" s="201"/>
      <c r="V750" s="201"/>
      <c r="W750" s="201"/>
      <c r="X750" s="201"/>
      <c r="Y750" s="201"/>
      <c r="Z750" s="202" t="str">
        <f t="shared" si="0"/>
        <v>RLOM Sensors</v>
      </c>
      <c r="AA750" s="174"/>
      <c r="AB750" s="147"/>
      <c r="AC750" s="147"/>
      <c r="AD750" s="147"/>
      <c r="AE750" s="147"/>
      <c r="AF750" s="147"/>
      <c r="AG750" s="147"/>
      <c r="AH750" s="147"/>
      <c r="AI750" s="147"/>
      <c r="AJ750" s="147"/>
      <c r="AK750" s="147"/>
      <c r="AL750" s="147"/>
      <c r="AM750" s="147"/>
      <c r="AN750" s="147"/>
    </row>
    <row r="751" spans="1:40" ht="45" customHeight="1">
      <c r="A751" s="239">
        <v>5</v>
      </c>
      <c r="B751" s="239" t="s">
        <v>1676</v>
      </c>
      <c r="C751" s="239">
        <v>56</v>
      </c>
      <c r="D751" s="193" t="s">
        <v>1688</v>
      </c>
      <c r="E751" s="193">
        <v>562</v>
      </c>
      <c r="F751" s="193" t="s">
        <v>1691</v>
      </c>
      <c r="G751" s="193" t="s">
        <v>1692</v>
      </c>
      <c r="H751" s="212" t="str">
        <f>HYPERLINK("http://bsdd.buildingsmart.org/#concept/details/0wCn8w8NX2QBHfBCHpjX6q","0wCn8w8NX2QBHfBCHpjX6q")</f>
        <v>0wCn8w8NX2QBHfBCHpjX6q</v>
      </c>
      <c r="I751" s="123" t="s">
        <v>2873</v>
      </c>
      <c r="J751" s="195" t="s">
        <v>4722</v>
      </c>
      <c r="K751" s="191"/>
      <c r="L751" s="249" t="str">
        <f t="shared" ca="1" si="31"/>
        <v>transformer 230-24 vac</v>
      </c>
      <c r="M751" s="210"/>
      <c r="N751" s="203" t="s">
        <v>1671</v>
      </c>
      <c r="O751" s="203" t="s">
        <v>1672</v>
      </c>
      <c r="P751" s="191" t="s">
        <v>1673</v>
      </c>
      <c r="Q751" s="192" t="s">
        <v>559</v>
      </c>
      <c r="R751" s="192" t="s">
        <v>625</v>
      </c>
      <c r="S751" s="206" t="s">
        <v>2763</v>
      </c>
      <c r="T751" s="199"/>
      <c r="U751" s="201"/>
      <c r="V751" s="201"/>
      <c r="W751" s="201"/>
      <c r="X751" s="201"/>
      <c r="Y751" s="201"/>
      <c r="Z751" s="202" t="str">
        <f t="shared" si="0"/>
        <v>RLOM Sensors</v>
      </c>
      <c r="AA751" s="174"/>
      <c r="AB751" s="147"/>
      <c r="AC751" s="147"/>
      <c r="AD751" s="147"/>
      <c r="AE751" s="147"/>
      <c r="AF751" s="147"/>
      <c r="AG751" s="147"/>
      <c r="AH751" s="147"/>
      <c r="AI751" s="147"/>
      <c r="AJ751" s="147"/>
      <c r="AK751" s="147"/>
      <c r="AL751" s="147"/>
      <c r="AM751" s="147"/>
      <c r="AN751" s="147"/>
    </row>
    <row r="752" spans="1:40" ht="18" customHeight="1">
      <c r="A752" s="239">
        <v>5</v>
      </c>
      <c r="B752" s="239" t="s">
        <v>1676</v>
      </c>
      <c r="C752" s="239">
        <v>56</v>
      </c>
      <c r="D752" s="193" t="s">
        <v>1688</v>
      </c>
      <c r="E752" s="193">
        <v>562</v>
      </c>
      <c r="F752" s="193" t="s">
        <v>1691</v>
      </c>
      <c r="G752" s="193" t="s">
        <v>1692</v>
      </c>
      <c r="H752" s="212" t="str">
        <f>HYPERLINK("http://bsdd.buildingsmart.org/#concept/details/00fu_nzd10vgHBf4IIvUni","00fu_nzd10vgHBf4IIvUni")</f>
        <v>00fu_nzd10vgHBf4IIvUni</v>
      </c>
      <c r="I752" s="123" t="s">
        <v>2881</v>
      </c>
      <c r="J752" s="195" t="s">
        <v>4723</v>
      </c>
      <c r="K752" s="191" t="s">
        <v>2882</v>
      </c>
      <c r="L752" s="249" t="str">
        <f t="shared" ca="1" si="31"/>
        <v>transformer 230-24 vac</v>
      </c>
      <c r="M752" s="210"/>
      <c r="N752" s="203" t="s">
        <v>2883</v>
      </c>
      <c r="O752" s="203" t="s">
        <v>2884</v>
      </c>
      <c r="P752" s="191" t="s">
        <v>2885</v>
      </c>
      <c r="Q752" s="192" t="s">
        <v>559</v>
      </c>
      <c r="R752" s="192" t="s">
        <v>625</v>
      </c>
      <c r="S752" s="206" t="s">
        <v>1674</v>
      </c>
      <c r="T752" s="199"/>
      <c r="U752" s="201"/>
      <c r="V752" s="201"/>
      <c r="W752" s="201"/>
      <c r="X752" s="201"/>
      <c r="Y752" s="201"/>
      <c r="Z752" s="202" t="str">
        <f t="shared" si="0"/>
        <v>RLOM Sensors</v>
      </c>
      <c r="AA752" s="174"/>
      <c r="AB752" s="147"/>
      <c r="AC752" s="147"/>
      <c r="AD752" s="147"/>
      <c r="AE752" s="147"/>
      <c r="AF752" s="147"/>
      <c r="AG752" s="147"/>
      <c r="AH752" s="147"/>
      <c r="AI752" s="147"/>
      <c r="AJ752" s="147"/>
      <c r="AK752" s="147"/>
      <c r="AL752" s="147"/>
      <c r="AM752" s="147"/>
      <c r="AN752" s="147"/>
    </row>
    <row r="753" spans="1:40" ht="36" customHeight="1">
      <c r="A753" s="239">
        <v>5</v>
      </c>
      <c r="B753" s="239" t="s">
        <v>1676</v>
      </c>
      <c r="C753" s="239">
        <v>56</v>
      </c>
      <c r="D753" s="193" t="s">
        <v>1688</v>
      </c>
      <c r="E753" s="193">
        <v>562</v>
      </c>
      <c r="F753" s="193" t="s">
        <v>1691</v>
      </c>
      <c r="G753" s="193" t="s">
        <v>1692</v>
      </c>
      <c r="H753" s="212" t="str">
        <f>HYPERLINK("http://bsdd.buildingsmart.org/#concept/details/3ecZLycnbDuuidOACgRrty","3ecZLycnbDuuidOACgRrty")</f>
        <v>3ecZLycnbDuuidOACgRrty</v>
      </c>
      <c r="I753" s="123" t="s">
        <v>2890</v>
      </c>
      <c r="J753" s="195" t="s">
        <v>4724</v>
      </c>
      <c r="K753" s="191"/>
      <c r="L753" s="249" t="str">
        <f t="shared" ca="1" si="31"/>
        <v>transformer 230-24 vac</v>
      </c>
      <c r="M753" s="210"/>
      <c r="N753" s="203" t="s">
        <v>1829</v>
      </c>
      <c r="O753" s="203" t="s">
        <v>2223</v>
      </c>
      <c r="P753" s="191" t="s">
        <v>2224</v>
      </c>
      <c r="Q753" s="192" t="s">
        <v>2225</v>
      </c>
      <c r="R753" s="192" t="s">
        <v>2227</v>
      </c>
      <c r="S753" s="206" t="s">
        <v>2241</v>
      </c>
      <c r="T753" s="199" t="s">
        <v>2242</v>
      </c>
      <c r="U753" s="201"/>
      <c r="V753" s="201"/>
      <c r="W753" s="201"/>
      <c r="X753" s="201"/>
      <c r="Y753" s="201"/>
      <c r="Z753" s="202" t="str">
        <f t="shared" si="0"/>
        <v>RLOM Actuators</v>
      </c>
      <c r="AA753" s="174"/>
      <c r="AB753" s="147"/>
      <c r="AC753" s="147"/>
      <c r="AD753" s="147"/>
      <c r="AE753" s="147"/>
      <c r="AF753" s="147"/>
      <c r="AG753" s="147"/>
      <c r="AH753" s="147"/>
      <c r="AI753" s="147"/>
      <c r="AJ753" s="147"/>
      <c r="AK753" s="147"/>
      <c r="AL753" s="147"/>
      <c r="AM753" s="147"/>
      <c r="AN753" s="147"/>
    </row>
    <row r="754" spans="1:40" ht="36" customHeight="1">
      <c r="A754" s="239">
        <v>5</v>
      </c>
      <c r="B754" s="239" t="s">
        <v>1676</v>
      </c>
      <c r="C754" s="239">
        <v>56</v>
      </c>
      <c r="D754" s="193" t="s">
        <v>1688</v>
      </c>
      <c r="E754" s="193">
        <v>562</v>
      </c>
      <c r="F754" s="193" t="s">
        <v>1691</v>
      </c>
      <c r="G754" s="193" t="s">
        <v>1692</v>
      </c>
      <c r="H754" s="212" t="str">
        <f>HYPERLINK("http://bsdd.buildingsmart.org/#concept/details/2ONisKKB5FxfHIa0V9tfAS","2ONisKKB5FxfHIa0V9tfAS")</f>
        <v>2ONisKKB5FxfHIa0V9tfAS</v>
      </c>
      <c r="I754" s="123" t="s">
        <v>2895</v>
      </c>
      <c r="J754" s="195" t="s">
        <v>4725</v>
      </c>
      <c r="K754" s="191"/>
      <c r="L754" s="249" t="str">
        <f t="shared" ca="1" si="31"/>
        <v>transformer 230-24 vac</v>
      </c>
      <c r="M754" s="210"/>
      <c r="N754" s="203" t="s">
        <v>1829</v>
      </c>
      <c r="O754" s="203" t="s">
        <v>2223</v>
      </c>
      <c r="P754" s="191" t="s">
        <v>2224</v>
      </c>
      <c r="Q754" s="192" t="s">
        <v>2225</v>
      </c>
      <c r="R754" s="192" t="s">
        <v>2227</v>
      </c>
      <c r="S754" s="206" t="s">
        <v>2241</v>
      </c>
      <c r="T754" s="199" t="s">
        <v>2242</v>
      </c>
      <c r="U754" s="201"/>
      <c r="V754" s="201"/>
      <c r="W754" s="201"/>
      <c r="X754" s="201"/>
      <c r="Y754" s="201"/>
      <c r="Z754" s="202" t="str">
        <f t="shared" si="0"/>
        <v>RLOM Actuators</v>
      </c>
      <c r="AA754" s="174"/>
      <c r="AB754" s="147"/>
      <c r="AC754" s="147"/>
      <c r="AD754" s="147"/>
      <c r="AE754" s="147"/>
      <c r="AF754" s="147"/>
      <c r="AG754" s="147"/>
      <c r="AH754" s="147"/>
      <c r="AI754" s="147"/>
      <c r="AJ754" s="147"/>
      <c r="AK754" s="147"/>
      <c r="AL754" s="147"/>
      <c r="AM754" s="147"/>
      <c r="AN754" s="147"/>
    </row>
    <row r="755" spans="1:40" ht="36" customHeight="1">
      <c r="A755" s="239">
        <v>5</v>
      </c>
      <c r="B755" s="239" t="s">
        <v>1676</v>
      </c>
      <c r="C755" s="239">
        <v>56</v>
      </c>
      <c r="D755" s="193" t="s">
        <v>1688</v>
      </c>
      <c r="E755" s="193">
        <v>562</v>
      </c>
      <c r="F755" s="193" t="s">
        <v>1691</v>
      </c>
      <c r="G755" s="193" t="s">
        <v>1692</v>
      </c>
      <c r="H755" s="212" t="str">
        <f>HYPERLINK("http://bsdd.buildingsmart.org/#concept/details/3p7cYDLOL82OAOkUtDBkKJ","3p7cYDLOL82OAOkUtDBkKJ")</f>
        <v>3p7cYDLOL82OAOkUtDBkKJ</v>
      </c>
      <c r="I755" s="123" t="s">
        <v>2901</v>
      </c>
      <c r="J755" s="195" t="s">
        <v>4726</v>
      </c>
      <c r="K755" s="191"/>
      <c r="L755" s="249" t="str">
        <f t="shared" ca="1" si="31"/>
        <v>transformer 230-24 vac</v>
      </c>
      <c r="M755" s="210"/>
      <c r="N755" s="203" t="s">
        <v>1829</v>
      </c>
      <c r="O755" s="203" t="s">
        <v>2223</v>
      </c>
      <c r="P755" s="191" t="s">
        <v>2224</v>
      </c>
      <c r="Q755" s="192" t="s">
        <v>2225</v>
      </c>
      <c r="R755" s="192" t="s">
        <v>2227</v>
      </c>
      <c r="S755" s="206" t="s">
        <v>2241</v>
      </c>
      <c r="T755" s="199" t="s">
        <v>2242</v>
      </c>
      <c r="U755" s="201"/>
      <c r="V755" s="201"/>
      <c r="W755" s="201"/>
      <c r="X755" s="201"/>
      <c r="Y755" s="201"/>
      <c r="Z755" s="202" t="str">
        <f t="shared" si="0"/>
        <v>RLOM Actuators</v>
      </c>
      <c r="AA755" s="174"/>
      <c r="AB755" s="147"/>
      <c r="AC755" s="147"/>
      <c r="AD755" s="147"/>
      <c r="AE755" s="147"/>
      <c r="AF755" s="147"/>
      <c r="AG755" s="147"/>
      <c r="AH755" s="147"/>
      <c r="AI755" s="147"/>
      <c r="AJ755" s="147"/>
      <c r="AK755" s="147"/>
      <c r="AL755" s="147"/>
      <c r="AM755" s="147"/>
      <c r="AN755" s="147"/>
    </row>
    <row r="756" spans="1:40" ht="36" customHeight="1">
      <c r="A756" s="239">
        <v>5</v>
      </c>
      <c r="B756" s="239" t="s">
        <v>1676</v>
      </c>
      <c r="C756" s="239">
        <v>56</v>
      </c>
      <c r="D756" s="193" t="s">
        <v>1688</v>
      </c>
      <c r="E756" s="193">
        <v>562</v>
      </c>
      <c r="F756" s="193" t="s">
        <v>1691</v>
      </c>
      <c r="G756" s="193" t="s">
        <v>1692</v>
      </c>
      <c r="H756" s="212" t="str">
        <f>HYPERLINK("http://bsdd.buildingsmart.org/#concept/details/0UFjRETdD4veqL_e9Hs4We","0UFjRETdD4veqL_e9Hs4We")</f>
        <v>0UFjRETdD4veqL_e9Hs4We</v>
      </c>
      <c r="I756" s="123" t="s">
        <v>2908</v>
      </c>
      <c r="J756" s="195" t="s">
        <v>4727</v>
      </c>
      <c r="K756" s="191"/>
      <c r="L756" s="249" t="str">
        <f t="shared" ca="1" si="31"/>
        <v>transformer 230-24 vac</v>
      </c>
      <c r="M756" s="210"/>
      <c r="N756" s="203" t="s">
        <v>1829</v>
      </c>
      <c r="O756" s="203" t="s">
        <v>2223</v>
      </c>
      <c r="P756" s="191" t="s">
        <v>2224</v>
      </c>
      <c r="Q756" s="192" t="s">
        <v>2225</v>
      </c>
      <c r="R756" s="192" t="s">
        <v>2227</v>
      </c>
      <c r="S756" s="206" t="s">
        <v>2241</v>
      </c>
      <c r="T756" s="199" t="s">
        <v>2242</v>
      </c>
      <c r="U756" s="201"/>
      <c r="V756" s="201"/>
      <c r="W756" s="201"/>
      <c r="X756" s="201"/>
      <c r="Y756" s="201"/>
      <c r="Z756" s="202" t="str">
        <f t="shared" si="0"/>
        <v>RLOM Actuators</v>
      </c>
      <c r="AA756" s="174"/>
      <c r="AB756" s="147"/>
      <c r="AC756" s="147"/>
      <c r="AD756" s="147"/>
      <c r="AE756" s="147"/>
      <c r="AF756" s="147"/>
      <c r="AG756" s="147"/>
      <c r="AH756" s="147"/>
      <c r="AI756" s="147"/>
      <c r="AJ756" s="147"/>
      <c r="AK756" s="147"/>
      <c r="AL756" s="147"/>
      <c r="AM756" s="147"/>
      <c r="AN756" s="147"/>
    </row>
    <row r="757" spans="1:40" ht="36" customHeight="1">
      <c r="A757" s="239">
        <v>5</v>
      </c>
      <c r="B757" s="239" t="s">
        <v>1676</v>
      </c>
      <c r="C757" s="239">
        <v>56</v>
      </c>
      <c r="D757" s="193" t="s">
        <v>1688</v>
      </c>
      <c r="E757" s="193">
        <v>562</v>
      </c>
      <c r="F757" s="193" t="s">
        <v>1691</v>
      </c>
      <c r="G757" s="193" t="s">
        <v>1692</v>
      </c>
      <c r="H757" s="212" t="str">
        <f>HYPERLINK("http://bsdd.buildingsmart.org/#concept/details/1iB1ubARzFgQREx2gwesyO","1iB1ubARzFgQREx2gwesyO")</f>
        <v>1iB1ubARzFgQREx2gwesyO</v>
      </c>
      <c r="I757" s="123" t="s">
        <v>2913</v>
      </c>
      <c r="J757" s="195" t="s">
        <v>4728</v>
      </c>
      <c r="K757" s="191"/>
      <c r="L757" s="249" t="str">
        <f t="shared" ca="1" si="31"/>
        <v>transformer 230-24 vac</v>
      </c>
      <c r="M757" s="210"/>
      <c r="N757" s="203" t="s">
        <v>1829</v>
      </c>
      <c r="O757" s="203" t="s">
        <v>2223</v>
      </c>
      <c r="P757" s="191" t="s">
        <v>2224</v>
      </c>
      <c r="Q757" s="192" t="s">
        <v>2225</v>
      </c>
      <c r="R757" s="192" t="s">
        <v>2227</v>
      </c>
      <c r="S757" s="206" t="s">
        <v>2241</v>
      </c>
      <c r="T757" s="199" t="s">
        <v>2242</v>
      </c>
      <c r="U757" s="201"/>
      <c r="V757" s="201"/>
      <c r="W757" s="201"/>
      <c r="X757" s="201"/>
      <c r="Y757" s="201"/>
      <c r="Z757" s="202" t="str">
        <f t="shared" si="0"/>
        <v>RLOM Actuators</v>
      </c>
      <c r="AA757" s="174"/>
      <c r="AB757" s="147"/>
      <c r="AC757" s="147"/>
      <c r="AD757" s="147"/>
      <c r="AE757" s="147"/>
      <c r="AF757" s="147"/>
      <c r="AG757" s="147"/>
      <c r="AH757" s="147"/>
      <c r="AI757" s="147"/>
      <c r="AJ757" s="147"/>
      <c r="AK757" s="147"/>
      <c r="AL757" s="147"/>
      <c r="AM757" s="147"/>
      <c r="AN757" s="147"/>
    </row>
    <row r="758" spans="1:40" ht="36" customHeight="1">
      <c r="A758" s="239">
        <v>5</v>
      </c>
      <c r="B758" s="239" t="s">
        <v>1676</v>
      </c>
      <c r="C758" s="239">
        <v>56</v>
      </c>
      <c r="D758" s="193" t="s">
        <v>1688</v>
      </c>
      <c r="E758" s="193">
        <v>562</v>
      </c>
      <c r="F758" s="193" t="s">
        <v>1691</v>
      </c>
      <c r="G758" s="193" t="s">
        <v>1692</v>
      </c>
      <c r="H758" s="212" t="str">
        <f>HYPERLINK("http://bsdd.buildingsmart.org/#concept/details/0jS7ne4gT82vuTRmW0Xlxj","0jS7ne4gT82vuTRmW0Xlxj")</f>
        <v>0jS7ne4gT82vuTRmW0Xlxj</v>
      </c>
      <c r="I758" s="123" t="s">
        <v>2920</v>
      </c>
      <c r="J758" s="195" t="s">
        <v>4729</v>
      </c>
      <c r="K758" s="191"/>
      <c r="L758" s="249" t="str">
        <f t="shared" ca="1" si="31"/>
        <v>transformer 230-24 vac</v>
      </c>
      <c r="M758" s="210"/>
      <c r="N758" s="203" t="s">
        <v>1829</v>
      </c>
      <c r="O758" s="203" t="s">
        <v>2223</v>
      </c>
      <c r="P758" s="191" t="s">
        <v>2224</v>
      </c>
      <c r="Q758" s="192" t="s">
        <v>2225</v>
      </c>
      <c r="R758" s="192" t="s">
        <v>2227</v>
      </c>
      <c r="S758" s="206" t="s">
        <v>2241</v>
      </c>
      <c r="T758" s="199" t="s">
        <v>2242</v>
      </c>
      <c r="U758" s="201"/>
      <c r="V758" s="201"/>
      <c r="W758" s="201"/>
      <c r="X758" s="201"/>
      <c r="Y758" s="201"/>
      <c r="Z758" s="202" t="str">
        <f t="shared" si="0"/>
        <v>RLOM Actuators</v>
      </c>
      <c r="AA758" s="174"/>
      <c r="AB758" s="147"/>
      <c r="AC758" s="147"/>
      <c r="AD758" s="147"/>
      <c r="AE758" s="147"/>
      <c r="AF758" s="147"/>
      <c r="AG758" s="147"/>
      <c r="AH758" s="147"/>
      <c r="AI758" s="147"/>
      <c r="AJ758" s="147"/>
      <c r="AK758" s="147"/>
      <c r="AL758" s="147"/>
      <c r="AM758" s="147"/>
      <c r="AN758" s="147"/>
    </row>
    <row r="759" spans="1:40" ht="36" customHeight="1">
      <c r="A759" s="239">
        <v>5</v>
      </c>
      <c r="B759" s="239" t="s">
        <v>1676</v>
      </c>
      <c r="C759" s="239">
        <v>56</v>
      </c>
      <c r="D759" s="193" t="s">
        <v>1688</v>
      </c>
      <c r="E759" s="193">
        <v>562</v>
      </c>
      <c r="F759" s="193" t="s">
        <v>1691</v>
      </c>
      <c r="G759" s="193" t="s">
        <v>1692</v>
      </c>
      <c r="H759" s="212" t="str">
        <f>HYPERLINK("http://bsdd.buildingsmart.org/#concept/details/2hYip8TKf7vvNDRCUcTRMR","2hYip8TKf7vvNDRCUcTRMR")</f>
        <v>2hYip8TKf7vvNDRCUcTRMR</v>
      </c>
      <c r="I759" s="123" t="s">
        <v>2927</v>
      </c>
      <c r="J759" s="195" t="s">
        <v>4730</v>
      </c>
      <c r="K759" s="191"/>
      <c r="L759" s="249" t="str">
        <f t="shared" ca="1" si="31"/>
        <v>transformer 230-24 vac</v>
      </c>
      <c r="M759" s="210"/>
      <c r="N759" s="203" t="s">
        <v>1829</v>
      </c>
      <c r="O759" s="203" t="s">
        <v>2223</v>
      </c>
      <c r="P759" s="191" t="s">
        <v>2224</v>
      </c>
      <c r="Q759" s="192" t="s">
        <v>2225</v>
      </c>
      <c r="R759" s="192" t="s">
        <v>2227</v>
      </c>
      <c r="S759" s="206" t="s">
        <v>2241</v>
      </c>
      <c r="T759" s="199" t="s">
        <v>2242</v>
      </c>
      <c r="U759" s="201"/>
      <c r="V759" s="201"/>
      <c r="W759" s="201"/>
      <c r="X759" s="201"/>
      <c r="Y759" s="201"/>
      <c r="Z759" s="202" t="str">
        <f t="shared" si="0"/>
        <v>RLOM Actuators</v>
      </c>
      <c r="AA759" s="174"/>
      <c r="AB759" s="147"/>
      <c r="AC759" s="147"/>
      <c r="AD759" s="147"/>
      <c r="AE759" s="147"/>
      <c r="AF759" s="147"/>
      <c r="AG759" s="147"/>
      <c r="AH759" s="147"/>
      <c r="AI759" s="147"/>
      <c r="AJ759" s="147"/>
      <c r="AK759" s="147"/>
      <c r="AL759" s="147"/>
      <c r="AM759" s="147"/>
      <c r="AN759" s="147"/>
    </row>
    <row r="760" spans="1:40" ht="36" customHeight="1">
      <c r="A760" s="239">
        <v>5</v>
      </c>
      <c r="B760" s="239" t="s">
        <v>1676</v>
      </c>
      <c r="C760" s="239">
        <v>56</v>
      </c>
      <c r="D760" s="193" t="s">
        <v>1688</v>
      </c>
      <c r="E760" s="193">
        <v>562</v>
      </c>
      <c r="F760" s="193" t="s">
        <v>1691</v>
      </c>
      <c r="G760" s="193" t="s">
        <v>1692</v>
      </c>
      <c r="H760" s="212" t="str">
        <f>HYPERLINK("http://bsdd.buildingsmart.org/#concept/details/0K4wShpRP90PNnibbKJtVe","0K4wShpRP90PNnibbKJtVe")</f>
        <v>0K4wShpRP90PNnibbKJtVe</v>
      </c>
      <c r="I760" s="123" t="s">
        <v>2938</v>
      </c>
      <c r="J760" s="195" t="s">
        <v>4731</v>
      </c>
      <c r="K760" s="191"/>
      <c r="L760" s="249" t="str">
        <f t="shared" ca="1" si="31"/>
        <v>transformer 230-24 vac</v>
      </c>
      <c r="M760" s="210"/>
      <c r="N760" s="203" t="s">
        <v>1829</v>
      </c>
      <c r="O760" s="203" t="s">
        <v>2223</v>
      </c>
      <c r="P760" s="191" t="s">
        <v>2224</v>
      </c>
      <c r="Q760" s="192" t="s">
        <v>2225</v>
      </c>
      <c r="R760" s="192" t="s">
        <v>2227</v>
      </c>
      <c r="S760" s="206" t="s">
        <v>2241</v>
      </c>
      <c r="T760" s="199" t="s">
        <v>2242</v>
      </c>
      <c r="U760" s="201"/>
      <c r="V760" s="201"/>
      <c r="W760" s="201"/>
      <c r="X760" s="201"/>
      <c r="Y760" s="201"/>
      <c r="Z760" s="202" t="str">
        <f t="shared" si="0"/>
        <v>RLOM Actuators</v>
      </c>
      <c r="AA760" s="174"/>
      <c r="AB760" s="147"/>
      <c r="AC760" s="147"/>
      <c r="AD760" s="147"/>
      <c r="AE760" s="147"/>
      <c r="AF760" s="147"/>
      <c r="AG760" s="147"/>
      <c r="AH760" s="147"/>
      <c r="AI760" s="147"/>
      <c r="AJ760" s="147"/>
      <c r="AK760" s="147"/>
      <c r="AL760" s="147"/>
      <c r="AM760" s="147"/>
      <c r="AN760" s="147"/>
    </row>
    <row r="761" spans="1:40" ht="36" customHeight="1">
      <c r="A761" s="239">
        <v>5</v>
      </c>
      <c r="B761" s="239" t="s">
        <v>1676</v>
      </c>
      <c r="C761" s="239">
        <v>56</v>
      </c>
      <c r="D761" s="193" t="s">
        <v>1688</v>
      </c>
      <c r="E761" s="193">
        <v>562</v>
      </c>
      <c r="F761" s="193" t="s">
        <v>1691</v>
      </c>
      <c r="G761" s="193" t="s">
        <v>1692</v>
      </c>
      <c r="H761" s="212" t="str">
        <f>HYPERLINK("http://bsdd.buildingsmart.org/#concept/details/14mBUWT8v6hgd1$5KqDNxJ","14mBUWT8v6hgd1$5KqDNxJ")</f>
        <v>14mBUWT8v6hgd1$5KqDNxJ</v>
      </c>
      <c r="I761" s="123" t="s">
        <v>2950</v>
      </c>
      <c r="J761" s="195" t="s">
        <v>4732</v>
      </c>
      <c r="K761" s="191"/>
      <c r="L761" s="249" t="str">
        <f t="shared" ca="1" si="31"/>
        <v>transformer 230-24 vac</v>
      </c>
      <c r="M761" s="210"/>
      <c r="N761" s="203" t="s">
        <v>1829</v>
      </c>
      <c r="O761" s="203" t="s">
        <v>2223</v>
      </c>
      <c r="P761" s="191" t="s">
        <v>2224</v>
      </c>
      <c r="Q761" s="192" t="s">
        <v>2225</v>
      </c>
      <c r="R761" s="192" t="s">
        <v>2227</v>
      </c>
      <c r="S761" s="206" t="s">
        <v>2241</v>
      </c>
      <c r="T761" s="199" t="s">
        <v>2242</v>
      </c>
      <c r="U761" s="201"/>
      <c r="V761" s="201"/>
      <c r="W761" s="201"/>
      <c r="X761" s="201"/>
      <c r="Y761" s="201"/>
      <c r="Z761" s="202" t="str">
        <f t="shared" si="0"/>
        <v>RLOM Actuators</v>
      </c>
      <c r="AA761" s="174"/>
      <c r="AB761" s="147"/>
      <c r="AC761" s="147"/>
      <c r="AD761" s="147"/>
      <c r="AE761" s="147"/>
      <c r="AF761" s="147"/>
      <c r="AG761" s="147"/>
      <c r="AH761" s="147"/>
      <c r="AI761" s="147"/>
      <c r="AJ761" s="147"/>
      <c r="AK761" s="147"/>
      <c r="AL761" s="147"/>
      <c r="AM761" s="147"/>
      <c r="AN761" s="147"/>
    </row>
    <row r="762" spans="1:40" ht="36" customHeight="1">
      <c r="A762" s="239">
        <v>5</v>
      </c>
      <c r="B762" s="239" t="s">
        <v>1676</v>
      </c>
      <c r="C762" s="239">
        <v>56</v>
      </c>
      <c r="D762" s="193" t="s">
        <v>1688</v>
      </c>
      <c r="E762" s="193">
        <v>562</v>
      </c>
      <c r="F762" s="193" t="s">
        <v>1691</v>
      </c>
      <c r="G762" s="193" t="s">
        <v>1692</v>
      </c>
      <c r="H762" s="212" t="str">
        <f>HYPERLINK("http://bsdd.buildingsmart.org/#concept/details/1cPM0ggBbB5fFYLNPVmSGk","1cPM0ggBbB5fFYLNPVmSGk")</f>
        <v>1cPM0ggBbB5fFYLNPVmSGk</v>
      </c>
      <c r="I762" s="123" t="s">
        <v>2960</v>
      </c>
      <c r="J762" s="195" t="s">
        <v>4733</v>
      </c>
      <c r="K762" s="191"/>
      <c r="L762" s="249" t="str">
        <f t="shared" ca="1" si="31"/>
        <v>transformer 230-24 vac</v>
      </c>
      <c r="M762" s="210"/>
      <c r="N762" s="203" t="s">
        <v>1829</v>
      </c>
      <c r="O762" s="203" t="s">
        <v>2223</v>
      </c>
      <c r="P762" s="191" t="s">
        <v>2224</v>
      </c>
      <c r="Q762" s="192" t="s">
        <v>2225</v>
      </c>
      <c r="R762" s="192" t="s">
        <v>2227</v>
      </c>
      <c r="S762" s="206" t="s">
        <v>2241</v>
      </c>
      <c r="T762" s="199" t="s">
        <v>2242</v>
      </c>
      <c r="U762" s="201"/>
      <c r="V762" s="201"/>
      <c r="W762" s="201"/>
      <c r="X762" s="201"/>
      <c r="Y762" s="201"/>
      <c r="Z762" s="202" t="str">
        <f t="shared" si="0"/>
        <v>RLOM Actuators</v>
      </c>
      <c r="AA762" s="174"/>
      <c r="AB762" s="147"/>
      <c r="AC762" s="147"/>
      <c r="AD762" s="147"/>
      <c r="AE762" s="147"/>
      <c r="AF762" s="147"/>
      <c r="AG762" s="147"/>
      <c r="AH762" s="147"/>
      <c r="AI762" s="147"/>
      <c r="AJ762" s="147"/>
      <c r="AK762" s="147"/>
      <c r="AL762" s="147"/>
      <c r="AM762" s="147"/>
      <c r="AN762" s="147"/>
    </row>
    <row r="763" spans="1:40" ht="27" customHeight="1">
      <c r="A763" s="239">
        <v>5</v>
      </c>
      <c r="B763" s="239" t="s">
        <v>1676</v>
      </c>
      <c r="C763" s="239">
        <v>56</v>
      </c>
      <c r="D763" s="193" t="s">
        <v>1688</v>
      </c>
      <c r="E763" s="193">
        <v>564</v>
      </c>
      <c r="F763" s="193" t="s">
        <v>2965</v>
      </c>
      <c r="G763" s="193" t="s">
        <v>2965</v>
      </c>
      <c r="H763" s="212" t="str">
        <f>HYPERLINK("http://bsdd.buildingsmart.org/#concept/details/3vHamQoT0Hsm00051Mm008","3vHamQoT0Hsm00051Mm008")</f>
        <v>3vHamQoT0Hsm00051Mm008</v>
      </c>
      <c r="I763" s="123" t="s">
        <v>5203</v>
      </c>
      <c r="J763" s="195" t="s">
        <v>4734</v>
      </c>
      <c r="K763" s="191"/>
      <c r="L763" s="248" t="s">
        <v>4735</v>
      </c>
      <c r="M763" s="210"/>
      <c r="N763" s="203" t="s">
        <v>1523</v>
      </c>
      <c r="O763" s="203" t="s">
        <v>1524</v>
      </c>
      <c r="P763" s="191" t="s">
        <v>1525</v>
      </c>
      <c r="Q763" s="192" t="s">
        <v>1526</v>
      </c>
      <c r="R763" s="192" t="s">
        <v>1527</v>
      </c>
      <c r="S763" s="206" t="s">
        <v>1528</v>
      </c>
      <c r="T763" s="199"/>
      <c r="U763" s="201"/>
      <c r="V763" s="201"/>
      <c r="W763" s="201"/>
      <c r="X763" s="201"/>
      <c r="Y763" s="201"/>
      <c r="Z763" s="202" t="str">
        <f t="shared" si="0"/>
        <v>RLOM SwitchingDevices</v>
      </c>
      <c r="AA763" s="174"/>
      <c r="AB763" s="147"/>
      <c r="AC763" s="147"/>
      <c r="AD763" s="147"/>
      <c r="AE763" s="147"/>
      <c r="AF763" s="147"/>
      <c r="AG763" s="147"/>
      <c r="AH763" s="147"/>
      <c r="AI763" s="147"/>
      <c r="AJ763" s="147"/>
      <c r="AK763" s="147"/>
      <c r="AL763" s="147"/>
      <c r="AM763" s="147"/>
      <c r="AN763" s="147"/>
    </row>
    <row r="764" spans="1:40" ht="45" customHeight="1">
      <c r="A764" s="239">
        <v>5</v>
      </c>
      <c r="B764" s="239" t="s">
        <v>1676</v>
      </c>
      <c r="C764" s="239">
        <v>56</v>
      </c>
      <c r="D764" s="193" t="s">
        <v>1688</v>
      </c>
      <c r="E764" s="193">
        <v>564</v>
      </c>
      <c r="F764" s="193" t="s">
        <v>2965</v>
      </c>
      <c r="G764" s="193" t="s">
        <v>2965</v>
      </c>
      <c r="H764" s="212" t="str">
        <f>HYPERLINK("http://bsdd.buildingsmart.org/#concept/details/1icOtuC5P88xUiycDL1Hfg","1icOtuC5P88xUiycDL1Hfg")</f>
        <v>1icOtuC5P88xUiycDL1Hfg</v>
      </c>
      <c r="I764" s="123" t="s">
        <v>2973</v>
      </c>
      <c r="J764" s="195" t="s">
        <v>4736</v>
      </c>
      <c r="K764" s="191" t="s">
        <v>2974</v>
      </c>
      <c r="L764" s="249" t="s">
        <v>4737</v>
      </c>
      <c r="M764" s="210"/>
      <c r="N764" s="203" t="s">
        <v>1517</v>
      </c>
      <c r="O764" s="203" t="s">
        <v>1518</v>
      </c>
      <c r="P764" s="191" t="s">
        <v>1519</v>
      </c>
      <c r="Q764" s="192" t="s">
        <v>559</v>
      </c>
      <c r="R764" s="192" t="s">
        <v>625</v>
      </c>
      <c r="S764" s="206" t="s">
        <v>2975</v>
      </c>
      <c r="T764" s="199"/>
      <c r="U764" s="201"/>
      <c r="V764" s="201"/>
      <c r="W764" s="201"/>
      <c r="X764" s="201"/>
      <c r="Y764" s="201"/>
      <c r="Z764" s="202" t="str">
        <f t="shared" si="0"/>
        <v>RLOM Sensors</v>
      </c>
      <c r="AA764" s="174"/>
      <c r="AB764" s="147"/>
      <c r="AC764" s="147"/>
      <c r="AD764" s="147"/>
      <c r="AE764" s="147"/>
      <c r="AF764" s="147"/>
      <c r="AG764" s="147"/>
      <c r="AH764" s="147"/>
      <c r="AI764" s="147"/>
      <c r="AJ764" s="147"/>
      <c r="AK764" s="147"/>
      <c r="AL764" s="147"/>
      <c r="AM764" s="147"/>
      <c r="AN764" s="147"/>
    </row>
    <row r="765" spans="1:40" ht="45" customHeight="1">
      <c r="A765" s="239">
        <v>5</v>
      </c>
      <c r="B765" s="239" t="s">
        <v>1676</v>
      </c>
      <c r="C765" s="239">
        <v>56</v>
      </c>
      <c r="D765" s="193" t="s">
        <v>1688</v>
      </c>
      <c r="E765" s="193">
        <v>564</v>
      </c>
      <c r="F765" s="193" t="s">
        <v>2965</v>
      </c>
      <c r="G765" s="193" t="s">
        <v>2965</v>
      </c>
      <c r="H765" s="212" t="str">
        <f>HYPERLINK("http://bsdd.buildingsmart.org/#concept/details/2qGmZsrRPCrx9a7CJ5HWb$","2qGmZsrRPCrx9a7CJ5HWb$")</f>
        <v>2qGmZsrRPCrx9a7CJ5HWb$</v>
      </c>
      <c r="I765" s="123" t="s">
        <v>2978</v>
      </c>
      <c r="J765" s="195" t="s">
        <v>4738</v>
      </c>
      <c r="K765" s="191"/>
      <c r="L765" s="249" t="str">
        <f t="shared" ref="L765:L774" ca="1" si="32">IFERROR(__xludf.DUMMYFUNCTION(GOOGLETRANSLATE(J765,"no","en")),"gateway")</f>
        <v>gateway</v>
      </c>
      <c r="M765" s="210"/>
      <c r="N765" s="203" t="s">
        <v>2979</v>
      </c>
      <c r="O765" s="203" t="s">
        <v>2980</v>
      </c>
      <c r="P765" s="191" t="s">
        <v>2981</v>
      </c>
      <c r="Q765" s="192" t="s">
        <v>1140</v>
      </c>
      <c r="R765" s="192" t="s">
        <v>1141</v>
      </c>
      <c r="S765" s="206" t="s">
        <v>2985</v>
      </c>
      <c r="T765" s="199"/>
      <c r="U765" s="201"/>
      <c r="V765" s="201"/>
      <c r="W765" s="201"/>
      <c r="X765" s="201"/>
      <c r="Y765" s="201"/>
      <c r="Z765" s="202" t="str">
        <f t="shared" si="0"/>
        <v>RLOM CommunicationsAppliances</v>
      </c>
      <c r="AA765" s="174"/>
      <c r="AB765" s="147"/>
      <c r="AC765" s="147"/>
      <c r="AD765" s="147"/>
      <c r="AE765" s="147"/>
      <c r="AF765" s="147"/>
      <c r="AG765" s="147"/>
      <c r="AH765" s="147"/>
      <c r="AI765" s="147"/>
      <c r="AJ765" s="147"/>
      <c r="AK765" s="147"/>
      <c r="AL765" s="147"/>
      <c r="AM765" s="147"/>
      <c r="AN765" s="147"/>
    </row>
    <row r="766" spans="1:40" ht="45" customHeight="1">
      <c r="A766" s="239">
        <v>5</v>
      </c>
      <c r="B766" s="239" t="s">
        <v>1676</v>
      </c>
      <c r="C766" s="239">
        <v>56</v>
      </c>
      <c r="D766" s="193" t="s">
        <v>1688</v>
      </c>
      <c r="E766" s="193">
        <v>564</v>
      </c>
      <c r="F766" s="193" t="s">
        <v>2965</v>
      </c>
      <c r="G766" s="193" t="s">
        <v>2965</v>
      </c>
      <c r="H766" s="212" t="str">
        <f>HYPERLINK("http://bsdd.buildingsmart.org/#concept/details/0dV54k5rXF_gD6z7dxuQ5W","0dV54k5rXF_gD6z7dxuQ5W")</f>
        <v>0dV54k5rXF_gD6z7dxuQ5W</v>
      </c>
      <c r="I766" s="123" t="s">
        <v>2986</v>
      </c>
      <c r="J766" s="195" t="s">
        <v>4739</v>
      </c>
      <c r="K766" s="191"/>
      <c r="L766" s="249" t="str">
        <f t="shared" ca="1" si="32"/>
        <v>gateway</v>
      </c>
      <c r="M766" s="210"/>
      <c r="N766" s="203" t="s">
        <v>2979</v>
      </c>
      <c r="O766" s="203" t="s">
        <v>2980</v>
      </c>
      <c r="P766" s="191" t="s">
        <v>2981</v>
      </c>
      <c r="Q766" s="192" t="s">
        <v>1140</v>
      </c>
      <c r="R766" s="192" t="s">
        <v>1141</v>
      </c>
      <c r="S766" s="206" t="s">
        <v>2985</v>
      </c>
      <c r="T766" s="199"/>
      <c r="U766" s="201"/>
      <c r="V766" s="201"/>
      <c r="W766" s="201"/>
      <c r="X766" s="201"/>
      <c r="Y766" s="201"/>
      <c r="Z766" s="202" t="str">
        <f t="shared" si="0"/>
        <v>RLOM CommunicationsAppliances</v>
      </c>
      <c r="AA766" s="174"/>
      <c r="AB766" s="147"/>
      <c r="AC766" s="147"/>
      <c r="AD766" s="147"/>
      <c r="AE766" s="147"/>
      <c r="AF766" s="147"/>
      <c r="AG766" s="147"/>
      <c r="AH766" s="147"/>
      <c r="AI766" s="147"/>
      <c r="AJ766" s="147"/>
      <c r="AK766" s="147"/>
      <c r="AL766" s="147"/>
      <c r="AM766" s="147"/>
      <c r="AN766" s="147"/>
    </row>
    <row r="767" spans="1:40" ht="45" customHeight="1">
      <c r="A767" s="239">
        <v>5</v>
      </c>
      <c r="B767" s="239" t="s">
        <v>1676</v>
      </c>
      <c r="C767" s="239">
        <v>56</v>
      </c>
      <c r="D767" s="193" t="s">
        <v>1688</v>
      </c>
      <c r="E767" s="193">
        <v>564</v>
      </c>
      <c r="F767" s="193" t="s">
        <v>2965</v>
      </c>
      <c r="G767" s="193" t="s">
        <v>2965</v>
      </c>
      <c r="H767" s="212" t="str">
        <f>HYPERLINK("http://bsdd.buildingsmart.org/#concept/details/3xDRr0tw9EBPJqTYNyjhsR","3xDRr0tw9EBPJqTYNyjhsR")</f>
        <v>3xDRr0tw9EBPJqTYNyjhsR</v>
      </c>
      <c r="I767" s="123" t="s">
        <v>2992</v>
      </c>
      <c r="J767" s="195" t="s">
        <v>4740</v>
      </c>
      <c r="K767" s="191"/>
      <c r="L767" s="249" t="str">
        <f t="shared" ca="1" si="32"/>
        <v>gateway</v>
      </c>
      <c r="M767" s="210"/>
      <c r="N767" s="203" t="s">
        <v>1517</v>
      </c>
      <c r="O767" s="203" t="s">
        <v>1518</v>
      </c>
      <c r="P767" s="191" t="s">
        <v>1519</v>
      </c>
      <c r="Q767" s="192" t="s">
        <v>559</v>
      </c>
      <c r="R767" s="192" t="s">
        <v>625</v>
      </c>
      <c r="S767" s="206" t="s">
        <v>1520</v>
      </c>
      <c r="T767" s="199"/>
      <c r="U767" s="201"/>
      <c r="V767" s="201"/>
      <c r="W767" s="201"/>
      <c r="X767" s="201"/>
      <c r="Y767" s="201"/>
      <c r="Z767" s="202" t="str">
        <f t="shared" si="0"/>
        <v>RLOM Sensors</v>
      </c>
      <c r="AA767" s="174"/>
      <c r="AB767" s="147"/>
      <c r="AC767" s="147"/>
      <c r="AD767" s="147"/>
      <c r="AE767" s="147"/>
      <c r="AF767" s="147"/>
      <c r="AG767" s="147"/>
      <c r="AH767" s="147"/>
      <c r="AI767" s="147"/>
      <c r="AJ767" s="147"/>
      <c r="AK767" s="147"/>
      <c r="AL767" s="147"/>
      <c r="AM767" s="147"/>
      <c r="AN767" s="147"/>
    </row>
    <row r="768" spans="1:40" ht="45" customHeight="1">
      <c r="A768" s="239">
        <v>5</v>
      </c>
      <c r="B768" s="239" t="s">
        <v>1676</v>
      </c>
      <c r="C768" s="239">
        <v>56</v>
      </c>
      <c r="D768" s="193" t="s">
        <v>1688</v>
      </c>
      <c r="E768" s="193">
        <v>564</v>
      </c>
      <c r="F768" s="193" t="s">
        <v>2965</v>
      </c>
      <c r="G768" s="193" t="s">
        <v>2965</v>
      </c>
      <c r="H768" s="212" t="str">
        <f>HYPERLINK("http://bsdd.buildingsmart.org/#concept/details/3roPt8gKvAbAhTZSTS_yp4","3roPt8gKvAbAhTZSTS_yp4")</f>
        <v>3roPt8gKvAbAhTZSTS_yp4</v>
      </c>
      <c r="I768" s="123" t="s">
        <v>3011</v>
      </c>
      <c r="J768" s="195" t="s">
        <v>4741</v>
      </c>
      <c r="K768" s="191"/>
      <c r="L768" s="249" t="str">
        <f t="shared" ca="1" si="32"/>
        <v>gateway</v>
      </c>
      <c r="M768" s="210"/>
      <c r="N768" s="203" t="s">
        <v>1517</v>
      </c>
      <c r="O768" s="203" t="s">
        <v>1518</v>
      </c>
      <c r="P768" s="191" t="s">
        <v>1519</v>
      </c>
      <c r="Q768" s="192" t="s">
        <v>559</v>
      </c>
      <c r="R768" s="192" t="s">
        <v>625</v>
      </c>
      <c r="S768" s="206" t="s">
        <v>1520</v>
      </c>
      <c r="T768" s="199"/>
      <c r="U768" s="201"/>
      <c r="V768" s="201"/>
      <c r="W768" s="201"/>
      <c r="X768" s="201"/>
      <c r="Y768" s="201"/>
      <c r="Z768" s="202" t="str">
        <f t="shared" si="0"/>
        <v>RLOM Sensors</v>
      </c>
      <c r="AA768" s="174"/>
      <c r="AB768" s="147"/>
      <c r="AC768" s="147"/>
      <c r="AD768" s="147"/>
      <c r="AE768" s="147"/>
      <c r="AF768" s="147"/>
      <c r="AG768" s="147"/>
      <c r="AH768" s="147"/>
      <c r="AI768" s="147"/>
      <c r="AJ768" s="147"/>
      <c r="AK768" s="147"/>
      <c r="AL768" s="147"/>
      <c r="AM768" s="147"/>
      <c r="AN768" s="147"/>
    </row>
    <row r="769" spans="1:40" ht="45" customHeight="1">
      <c r="A769" s="239">
        <v>5</v>
      </c>
      <c r="B769" s="239" t="s">
        <v>1676</v>
      </c>
      <c r="C769" s="239">
        <v>56</v>
      </c>
      <c r="D769" s="193" t="s">
        <v>1688</v>
      </c>
      <c r="E769" s="193">
        <v>564</v>
      </c>
      <c r="F769" s="193" t="s">
        <v>2965</v>
      </c>
      <c r="G769" s="193" t="s">
        <v>2965</v>
      </c>
      <c r="H769" s="212" t="str">
        <f>HYPERLINK("http://bsdd.buildingsmart.org/#concept/details/149FxuatzDrPXARJ5rfulR","149FxuatzDrPXARJ5rfulR")</f>
        <v>149FxuatzDrPXARJ5rfulR</v>
      </c>
      <c r="I769" s="123" t="s">
        <v>5204</v>
      </c>
      <c r="J769" s="195" t="s">
        <v>4742</v>
      </c>
      <c r="K769" s="191" t="s">
        <v>3022</v>
      </c>
      <c r="L769" s="249" t="str">
        <f t="shared" ca="1" si="32"/>
        <v>gateway</v>
      </c>
      <c r="M769" s="210"/>
      <c r="N769" s="203" t="s">
        <v>1865</v>
      </c>
      <c r="O769" s="203" t="s">
        <v>3023</v>
      </c>
      <c r="P769" s="191" t="s">
        <v>3025</v>
      </c>
      <c r="Q769" s="192" t="s">
        <v>559</v>
      </c>
      <c r="R769" s="192" t="s">
        <v>625</v>
      </c>
      <c r="S769" s="206" t="s">
        <v>1867</v>
      </c>
      <c r="T769" s="199"/>
      <c r="U769" s="201"/>
      <c r="V769" s="201"/>
      <c r="W769" s="201"/>
      <c r="X769" s="201"/>
      <c r="Y769" s="201"/>
      <c r="Z769" s="202" t="str">
        <f t="shared" si="0"/>
        <v>RLOM Sensors</v>
      </c>
      <c r="AA769" s="174"/>
      <c r="AB769" s="147"/>
      <c r="AC769" s="147"/>
      <c r="AD769" s="147"/>
      <c r="AE769" s="147"/>
      <c r="AF769" s="147"/>
      <c r="AG769" s="147"/>
      <c r="AH769" s="147"/>
      <c r="AI769" s="147"/>
      <c r="AJ769" s="147"/>
      <c r="AK769" s="147"/>
      <c r="AL769" s="147"/>
      <c r="AM769" s="147"/>
      <c r="AN769" s="147"/>
    </row>
    <row r="770" spans="1:40" ht="45" customHeight="1">
      <c r="A770" s="239">
        <v>5</v>
      </c>
      <c r="B770" s="239" t="s">
        <v>1676</v>
      </c>
      <c r="C770" s="239">
        <v>56</v>
      </c>
      <c r="D770" s="193" t="s">
        <v>1688</v>
      </c>
      <c r="E770" s="193">
        <v>564</v>
      </c>
      <c r="F770" s="193" t="s">
        <v>2965</v>
      </c>
      <c r="G770" s="193" t="s">
        <v>2965</v>
      </c>
      <c r="H770" s="212" t="str">
        <f>HYPERLINK("http://bsdd.buildingsmart.org/#concept/details/3qXoOtKIDE1wWVumsc61nE","3qXoOtKIDE1wWVumsc61nE")</f>
        <v>3qXoOtKIDE1wWVumsc61nE</v>
      </c>
      <c r="I770" s="123" t="s">
        <v>5205</v>
      </c>
      <c r="J770" s="195" t="s">
        <v>4743</v>
      </c>
      <c r="K770" s="191" t="s">
        <v>3022</v>
      </c>
      <c r="L770" s="249" t="str">
        <f t="shared" ca="1" si="32"/>
        <v>gateway</v>
      </c>
      <c r="M770" s="210"/>
      <c r="N770" s="203" t="s">
        <v>1865</v>
      </c>
      <c r="O770" s="203" t="s">
        <v>3023</v>
      </c>
      <c r="P770" s="191" t="s">
        <v>3025</v>
      </c>
      <c r="Q770" s="192" t="s">
        <v>559</v>
      </c>
      <c r="R770" s="192" t="s">
        <v>625</v>
      </c>
      <c r="S770" s="206" t="s">
        <v>1867</v>
      </c>
      <c r="T770" s="199"/>
      <c r="U770" s="201"/>
      <c r="V770" s="201"/>
      <c r="W770" s="201"/>
      <c r="X770" s="201"/>
      <c r="Y770" s="201"/>
      <c r="Z770" s="202" t="str">
        <f t="shared" si="0"/>
        <v>RLOM Sensors</v>
      </c>
      <c r="AA770" s="174"/>
      <c r="AB770" s="147"/>
      <c r="AC770" s="147"/>
      <c r="AD770" s="147"/>
      <c r="AE770" s="147"/>
      <c r="AF770" s="147"/>
      <c r="AG770" s="147"/>
      <c r="AH770" s="147"/>
      <c r="AI770" s="147"/>
      <c r="AJ770" s="147"/>
      <c r="AK770" s="147"/>
      <c r="AL770" s="147"/>
      <c r="AM770" s="147"/>
      <c r="AN770" s="147"/>
    </row>
    <row r="771" spans="1:40" ht="45" customHeight="1">
      <c r="A771" s="239">
        <v>5</v>
      </c>
      <c r="B771" s="239" t="s">
        <v>1676</v>
      </c>
      <c r="C771" s="239">
        <v>56</v>
      </c>
      <c r="D771" s="193" t="s">
        <v>1688</v>
      </c>
      <c r="E771" s="193">
        <v>564</v>
      </c>
      <c r="F771" s="193" t="s">
        <v>2965</v>
      </c>
      <c r="G771" s="193" t="s">
        <v>2965</v>
      </c>
      <c r="H771" s="212" t="str">
        <f>HYPERLINK("http://bsdd.buildingsmart.org/#concept/details/3EL$S0qFT3RAJPk_5K2mrs","3EL$S0qFT3RAJPk_5K2mrs")</f>
        <v>3EL$S0qFT3RAJPk_5K2mrs</v>
      </c>
      <c r="I771" s="123" t="s">
        <v>3039</v>
      </c>
      <c r="J771" s="195" t="s">
        <v>4744</v>
      </c>
      <c r="K771" s="191"/>
      <c r="L771" s="249" t="str">
        <f t="shared" ca="1" si="32"/>
        <v>gateway</v>
      </c>
      <c r="M771" s="210"/>
      <c r="N771" s="203" t="s">
        <v>1517</v>
      </c>
      <c r="O771" s="203" t="s">
        <v>1518</v>
      </c>
      <c r="P771" s="191" t="s">
        <v>1519</v>
      </c>
      <c r="Q771" s="192" t="s">
        <v>559</v>
      </c>
      <c r="R771" s="192" t="s">
        <v>625</v>
      </c>
      <c r="S771" s="206" t="s">
        <v>1520</v>
      </c>
      <c r="T771" s="199"/>
      <c r="U771" s="201"/>
      <c r="V771" s="201"/>
      <c r="W771" s="201"/>
      <c r="X771" s="201"/>
      <c r="Y771" s="201"/>
      <c r="Z771" s="202" t="str">
        <f t="shared" si="0"/>
        <v>RLOM Sensors</v>
      </c>
      <c r="AA771" s="174"/>
      <c r="AB771" s="147"/>
      <c r="AC771" s="147"/>
      <c r="AD771" s="147"/>
      <c r="AE771" s="147"/>
      <c r="AF771" s="147"/>
      <c r="AG771" s="147"/>
      <c r="AH771" s="147"/>
      <c r="AI771" s="147"/>
      <c r="AJ771" s="147"/>
      <c r="AK771" s="147"/>
      <c r="AL771" s="147"/>
      <c r="AM771" s="147"/>
      <c r="AN771" s="147"/>
    </row>
    <row r="772" spans="1:40" ht="27" customHeight="1">
      <c r="A772" s="190">
        <v>2</v>
      </c>
      <c r="B772" s="190" t="s">
        <v>398</v>
      </c>
      <c r="C772" s="190">
        <v>23</v>
      </c>
      <c r="D772" s="191" t="s">
        <v>1371</v>
      </c>
      <c r="E772" s="118">
        <v>569</v>
      </c>
      <c r="F772" s="192" t="s">
        <v>1788</v>
      </c>
      <c r="G772" s="193" t="s">
        <v>1791</v>
      </c>
      <c r="H772" s="222" t="str">
        <f>HYPERLINK("http://bsdd.buildingsmart.org/#concept/details/0Y_0Qp0YvA1hpjLZA5VBpP","0Y_0Qp0YvA1hpjLZA5VBpP")</f>
        <v>0Y_0Qp0YvA1hpjLZA5VBpP</v>
      </c>
      <c r="I772" s="123" t="s">
        <v>1793</v>
      </c>
      <c r="J772" s="195" t="s">
        <v>4745</v>
      </c>
      <c r="K772" s="191"/>
      <c r="L772" s="249" t="str">
        <f t="shared" ca="1" si="32"/>
        <v>gateway</v>
      </c>
      <c r="M772" s="198"/>
      <c r="N772" s="203" t="s">
        <v>1523</v>
      </c>
      <c r="O772" s="203" t="s">
        <v>1524</v>
      </c>
      <c r="P772" s="191" t="s">
        <v>1525</v>
      </c>
      <c r="Q772" s="203" t="s">
        <v>1526</v>
      </c>
      <c r="R772" s="203"/>
      <c r="S772" s="198"/>
      <c r="T772" s="203"/>
      <c r="U772" s="200"/>
      <c r="V772" s="200"/>
      <c r="W772" s="200"/>
      <c r="X772" s="226"/>
      <c r="Y772" s="226"/>
      <c r="Z772" s="202" t="str">
        <f t="shared" si="0"/>
        <v>RLOM SwitchingDevices</v>
      </c>
      <c r="AA772" s="173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  <c r="AN772" s="154"/>
    </row>
    <row r="773" spans="1:40" ht="24" customHeight="1">
      <c r="A773" s="190">
        <v>2</v>
      </c>
      <c r="B773" s="190" t="s">
        <v>398</v>
      </c>
      <c r="C773" s="190">
        <v>23</v>
      </c>
      <c r="D773" s="191" t="s">
        <v>1371</v>
      </c>
      <c r="E773" s="118">
        <v>569</v>
      </c>
      <c r="F773" s="192" t="s">
        <v>1788</v>
      </c>
      <c r="G773" s="193" t="s">
        <v>1791</v>
      </c>
      <c r="H773" s="222" t="str">
        <f>HYPERLINK("http://bsdd.buildingsmart.org/#concept/details/2BDy$EQKnD3eGwo8kjqI9x","2BDy$EQKnD3eGwo8kjqI9x")</f>
        <v>2BDy$EQKnD3eGwo8kjqI9x</v>
      </c>
      <c r="I773" s="123" t="s">
        <v>5206</v>
      </c>
      <c r="J773" s="195" t="s">
        <v>4746</v>
      </c>
      <c r="K773" s="191"/>
      <c r="L773" s="249" t="str">
        <f t="shared" ca="1" si="32"/>
        <v>gateway</v>
      </c>
      <c r="M773" s="198"/>
      <c r="N773" s="203" t="s">
        <v>1807</v>
      </c>
      <c r="O773" s="203"/>
      <c r="P773" s="191"/>
      <c r="Q773" s="203" t="s">
        <v>559</v>
      </c>
      <c r="R773" s="203"/>
      <c r="S773" s="198"/>
      <c r="T773" s="203"/>
      <c r="U773" s="200"/>
      <c r="V773" s="200"/>
      <c r="W773" s="200"/>
      <c r="X773" s="226"/>
      <c r="Y773" s="226"/>
      <c r="Z773" s="202" t="str">
        <f t="shared" si="0"/>
        <v>RLOM Sensors</v>
      </c>
      <c r="AA773" s="173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  <c r="AN773" s="154"/>
    </row>
    <row r="774" spans="1:40" ht="18" customHeight="1">
      <c r="A774" s="190">
        <v>2</v>
      </c>
      <c r="B774" s="190" t="s">
        <v>398</v>
      </c>
      <c r="C774" s="190">
        <v>23</v>
      </c>
      <c r="D774" s="191" t="s">
        <v>1371</v>
      </c>
      <c r="E774" s="118">
        <v>569</v>
      </c>
      <c r="F774" s="192" t="s">
        <v>1788</v>
      </c>
      <c r="G774" s="193" t="s">
        <v>1791</v>
      </c>
      <c r="H774" s="222" t="str">
        <f>HYPERLINK("http://bsdd.buildingsmart.org/#concept/details/2Rg3WvB6fErPI_vVicsfn_","2Rg3WvB6fErPI_vVicsfn_")</f>
        <v>2Rg3WvB6fErPI_vVicsfn_</v>
      </c>
      <c r="I774" s="123" t="s">
        <v>1821</v>
      </c>
      <c r="J774" s="195" t="s">
        <v>4747</v>
      </c>
      <c r="K774" s="191"/>
      <c r="L774" s="249" t="str">
        <f t="shared" ca="1" si="32"/>
        <v>gateway</v>
      </c>
      <c r="M774" s="198"/>
      <c r="N774" s="203" t="s">
        <v>1807</v>
      </c>
      <c r="O774" s="203"/>
      <c r="P774" s="191"/>
      <c r="Q774" s="203" t="s">
        <v>1822</v>
      </c>
      <c r="R774" s="203"/>
      <c r="S774" s="198"/>
      <c r="T774" s="203"/>
      <c r="U774" s="200"/>
      <c r="V774" s="200"/>
      <c r="W774" s="200"/>
      <c r="X774" s="226"/>
      <c r="Y774" s="226"/>
      <c r="Z774" s="202" t="str">
        <f t="shared" si="0"/>
        <v>RLOM Controllers</v>
      </c>
      <c r="AA774" s="173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  <c r="AN774" s="154"/>
    </row>
    <row r="775" spans="1:40" ht="36" customHeight="1">
      <c r="A775" s="239">
        <v>5</v>
      </c>
      <c r="B775" s="239" t="s">
        <v>1676</v>
      </c>
      <c r="C775" s="239">
        <v>56</v>
      </c>
      <c r="D775" s="193" t="s">
        <v>1688</v>
      </c>
      <c r="E775" s="193">
        <v>569</v>
      </c>
      <c r="F775" s="193" t="s">
        <v>3047</v>
      </c>
      <c r="G775" s="193" t="s">
        <v>1826</v>
      </c>
      <c r="H775" s="212" t="str">
        <f>HYPERLINK("http://bsdd.buildingsmart.org/#concept/details/2ETBuFUG1E792cAK4fqB2f","2ETBuFUG1E792cAK4fqB2f")</f>
        <v>2ETBuFUG1E792cAK4fqB2f</v>
      </c>
      <c r="I775" s="123" t="s">
        <v>3050</v>
      </c>
      <c r="J775" s="195" t="s">
        <v>4748</v>
      </c>
      <c r="K775" s="191" t="s">
        <v>3052</v>
      </c>
      <c r="L775" s="248" t="s">
        <v>4749</v>
      </c>
      <c r="M775" s="210"/>
      <c r="N775" s="203" t="s">
        <v>619</v>
      </c>
      <c r="O775" s="203" t="s">
        <v>621</v>
      </c>
      <c r="P775" s="191" t="s">
        <v>622</v>
      </c>
      <c r="Q775" s="192" t="s">
        <v>559</v>
      </c>
      <c r="R775" s="192" t="s">
        <v>625</v>
      </c>
      <c r="S775" s="206" t="s">
        <v>3057</v>
      </c>
      <c r="T775" s="199"/>
      <c r="U775" s="201"/>
      <c r="V775" s="201"/>
      <c r="W775" s="201"/>
      <c r="X775" s="201"/>
      <c r="Y775" s="201"/>
      <c r="Z775" s="202" t="str">
        <f t="shared" si="0"/>
        <v>RLOM Sensors</v>
      </c>
      <c r="AA775" s="173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  <c r="AN775" s="154"/>
    </row>
    <row r="776" spans="1:40" ht="18" customHeight="1">
      <c r="A776" s="239">
        <v>5</v>
      </c>
      <c r="B776" s="239" t="s">
        <v>1676</v>
      </c>
      <c r="C776" s="239">
        <v>56</v>
      </c>
      <c r="D776" s="193" t="s">
        <v>1688</v>
      </c>
      <c r="E776" s="193">
        <v>569</v>
      </c>
      <c r="F776" s="193" t="s">
        <v>3047</v>
      </c>
      <c r="G776" s="193" t="s">
        <v>1826</v>
      </c>
      <c r="H776" s="212" t="str">
        <f>HYPERLINK("http://bsdd.buildingsmart.org/#concept/details/00TOOdhpz8eu0XTotqVXCk","00TOOdhpz8eu0XTotqVXCk")</f>
        <v>00TOOdhpz8eu0XTotqVXCk</v>
      </c>
      <c r="I776" s="123" t="s">
        <v>3061</v>
      </c>
      <c r="J776" s="195" t="s">
        <v>4750</v>
      </c>
      <c r="K776" s="191" t="s">
        <v>3062</v>
      </c>
      <c r="L776" s="249" t="str">
        <f t="shared" ref="L776:L785" ca="1" si="33">IFERROR(__xludf.DUMMYFUNCTION(GOOGLETRANSLATE(J776,"no","en")),"flow switch")</f>
        <v>flow switch</v>
      </c>
      <c r="M776" s="210"/>
      <c r="N776" s="203"/>
      <c r="O776" s="203"/>
      <c r="P776" s="191"/>
      <c r="Q776" s="192" t="s">
        <v>559</v>
      </c>
      <c r="R776" s="192" t="s">
        <v>625</v>
      </c>
      <c r="S776" s="206" t="s">
        <v>3063</v>
      </c>
      <c r="T776" s="199"/>
      <c r="U776" s="201"/>
      <c r="V776" s="201"/>
      <c r="W776" s="201"/>
      <c r="X776" s="201"/>
      <c r="Y776" s="201"/>
      <c r="Z776" s="202" t="str">
        <f t="shared" si="0"/>
        <v>RLOM Sensors</v>
      </c>
      <c r="AA776" s="173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  <c r="AN776" s="154"/>
    </row>
    <row r="777" spans="1:40" ht="18" customHeight="1">
      <c r="A777" s="239">
        <v>5</v>
      </c>
      <c r="B777" s="239" t="s">
        <v>1676</v>
      </c>
      <c r="C777" s="239">
        <v>56</v>
      </c>
      <c r="D777" s="193" t="s">
        <v>1688</v>
      </c>
      <c r="E777" s="193">
        <v>569</v>
      </c>
      <c r="F777" s="193" t="s">
        <v>3047</v>
      </c>
      <c r="G777" s="193" t="s">
        <v>1826</v>
      </c>
      <c r="H777" s="212" t="str">
        <f>HYPERLINK("http://bsdd.buildingsmart.org/#concept/details/1xmkdtqwLBUhyRliRGgw4m","1xmkdtqwLBUhyRliRGgw4m")</f>
        <v>1xmkdtqwLBUhyRliRGgw4m</v>
      </c>
      <c r="I777" s="123" t="s">
        <v>3070</v>
      </c>
      <c r="J777" s="195" t="s">
        <v>4751</v>
      </c>
      <c r="K777" s="191" t="s">
        <v>3072</v>
      </c>
      <c r="L777" s="249" t="str">
        <f t="shared" ca="1" si="33"/>
        <v>flow switch</v>
      </c>
      <c r="M777" s="210"/>
      <c r="N777" s="203"/>
      <c r="O777" s="203"/>
      <c r="P777" s="191"/>
      <c r="Q777" s="192" t="s">
        <v>559</v>
      </c>
      <c r="R777" s="192" t="s">
        <v>625</v>
      </c>
      <c r="S777" s="206" t="s">
        <v>3074</v>
      </c>
      <c r="T777" s="199"/>
      <c r="U777" s="201"/>
      <c r="V777" s="201"/>
      <c r="W777" s="201"/>
      <c r="X777" s="201"/>
      <c r="Y777" s="201"/>
      <c r="Z777" s="202" t="str">
        <f t="shared" si="0"/>
        <v>RLOM Sensors</v>
      </c>
      <c r="AA777" s="173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  <c r="AN777" s="154"/>
    </row>
    <row r="778" spans="1:40" ht="18" customHeight="1">
      <c r="A778" s="239">
        <v>5</v>
      </c>
      <c r="B778" s="239" t="s">
        <v>1676</v>
      </c>
      <c r="C778" s="239">
        <v>56</v>
      </c>
      <c r="D778" s="193" t="s">
        <v>1688</v>
      </c>
      <c r="E778" s="193">
        <v>569</v>
      </c>
      <c r="F778" s="193" t="s">
        <v>3047</v>
      </c>
      <c r="G778" s="193" t="s">
        <v>1826</v>
      </c>
      <c r="H778" s="212" t="str">
        <f>HYPERLINK("http://bsdd.buildingsmart.org/#concept/details/3p9AibDEv4PPz3zZGsQj8U","3p9AibDEv4PPz3zZGsQj8U")</f>
        <v>3p9AibDEv4PPz3zZGsQj8U</v>
      </c>
      <c r="I778" s="123" t="s">
        <v>3081</v>
      </c>
      <c r="J778" s="195" t="s">
        <v>4752</v>
      </c>
      <c r="K778" s="191"/>
      <c r="L778" s="249" t="str">
        <f t="shared" ca="1" si="33"/>
        <v>flow switch</v>
      </c>
      <c r="M778" s="210"/>
      <c r="N778" s="203"/>
      <c r="O778" s="203"/>
      <c r="P778" s="191"/>
      <c r="Q778" s="192" t="s">
        <v>559</v>
      </c>
      <c r="R778" s="192" t="s">
        <v>625</v>
      </c>
      <c r="S778" s="206" t="s">
        <v>1896</v>
      </c>
      <c r="T778" s="199"/>
      <c r="U778" s="201"/>
      <c r="V778" s="201"/>
      <c r="W778" s="201"/>
      <c r="X778" s="201"/>
      <c r="Y778" s="201"/>
      <c r="Z778" s="202" t="str">
        <f t="shared" si="0"/>
        <v>RLOM Sensors</v>
      </c>
      <c r="AA778" s="173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  <c r="AN778" s="154"/>
    </row>
    <row r="779" spans="1:40" ht="18" customHeight="1">
      <c r="A779" s="239">
        <v>5</v>
      </c>
      <c r="B779" s="239" t="s">
        <v>1676</v>
      </c>
      <c r="C779" s="239">
        <v>56</v>
      </c>
      <c r="D779" s="193" t="s">
        <v>1688</v>
      </c>
      <c r="E779" s="193">
        <v>569</v>
      </c>
      <c r="F779" s="193" t="s">
        <v>3047</v>
      </c>
      <c r="G779" s="193" t="s">
        <v>1826</v>
      </c>
      <c r="H779" s="212" t="str">
        <f>HYPERLINK("http://bsdd.buildingsmart.org/#concept/details/3niwAdMLbCOgZRxLUS6ENM","3niwAdMLbCOgZRxLUS6ENM")</f>
        <v>3niwAdMLbCOgZRxLUS6ENM</v>
      </c>
      <c r="I779" s="123" t="s">
        <v>3088</v>
      </c>
      <c r="J779" s="195" t="s">
        <v>4753</v>
      </c>
      <c r="K779" s="191"/>
      <c r="L779" s="249" t="str">
        <f t="shared" ca="1" si="33"/>
        <v>flow switch</v>
      </c>
      <c r="M779" s="210"/>
      <c r="N779" s="203"/>
      <c r="O779" s="203"/>
      <c r="P779" s="191"/>
      <c r="Q779" s="192" t="s">
        <v>1240</v>
      </c>
      <c r="R779" s="192" t="s">
        <v>1241</v>
      </c>
      <c r="S779" s="206" t="s">
        <v>3093</v>
      </c>
      <c r="T779" s="199"/>
      <c r="U779" s="201"/>
      <c r="V779" s="201"/>
      <c r="W779" s="201"/>
      <c r="X779" s="201"/>
      <c r="Y779" s="201"/>
      <c r="Z779" s="202" t="str">
        <f t="shared" si="0"/>
        <v>RLOM UnitaryControlElements</v>
      </c>
      <c r="AA779" s="173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  <c r="AN779" s="154"/>
    </row>
    <row r="780" spans="1:40" ht="21.75" customHeight="1">
      <c r="A780" s="190">
        <v>6</v>
      </c>
      <c r="B780" s="190" t="s">
        <v>469</v>
      </c>
      <c r="C780" s="190">
        <v>61</v>
      </c>
      <c r="D780" s="191" t="s">
        <v>471</v>
      </c>
      <c r="E780" s="192">
        <v>611</v>
      </c>
      <c r="F780" s="192" t="s">
        <v>474</v>
      </c>
      <c r="G780" s="193" t="s">
        <v>476</v>
      </c>
      <c r="H780" s="208" t="str">
        <f>HYPERLINK("http://bsdd.buildingsmart.org/#concept/details/392PqaqqH20hS83QPvesC_","392PqaqqH20hS83QPvesC_")</f>
        <v>392PqaqqH20hS83QPvesC_</v>
      </c>
      <c r="I780" s="119" t="s">
        <v>474</v>
      </c>
      <c r="J780" s="209" t="s">
        <v>4755</v>
      </c>
      <c r="K780" s="206"/>
      <c r="L780" s="249" t="str">
        <f t="shared" ca="1" si="33"/>
        <v>flow switch</v>
      </c>
      <c r="M780" s="210"/>
      <c r="N780" s="192" t="s">
        <v>845</v>
      </c>
      <c r="O780" s="192" t="s">
        <v>846</v>
      </c>
      <c r="P780" s="191"/>
      <c r="Q780" s="199" t="s">
        <v>847</v>
      </c>
      <c r="R780" s="197"/>
      <c r="S780" s="210"/>
      <c r="T780" s="203"/>
      <c r="U780" s="200"/>
      <c r="V780" s="200"/>
      <c r="W780" s="201"/>
      <c r="X780" s="201"/>
      <c r="Y780" s="201"/>
      <c r="Z780" s="202" t="str">
        <f t="shared" si="0"/>
        <v>RLOM BuildingElementProxys</v>
      </c>
      <c r="AA780" s="172"/>
      <c r="AB780" s="153"/>
      <c r="AC780" s="153"/>
      <c r="AD780" s="153"/>
      <c r="AE780" s="153"/>
      <c r="AF780" s="153"/>
      <c r="AG780" s="153"/>
      <c r="AH780" s="153"/>
      <c r="AI780" s="153"/>
      <c r="AJ780" s="153"/>
      <c r="AK780" s="153"/>
      <c r="AL780" s="153"/>
      <c r="AM780" s="153"/>
      <c r="AN780" s="153"/>
    </row>
    <row r="781" spans="1:40" ht="21.75" customHeight="1">
      <c r="A781" s="190">
        <v>6</v>
      </c>
      <c r="B781" s="190" t="s">
        <v>469</v>
      </c>
      <c r="C781" s="190">
        <v>61</v>
      </c>
      <c r="D781" s="191" t="s">
        <v>471</v>
      </c>
      <c r="E781" s="192">
        <v>612</v>
      </c>
      <c r="F781" s="192" t="s">
        <v>856</v>
      </c>
      <c r="G781" s="193" t="s">
        <v>476</v>
      </c>
      <c r="H781" s="208" t="str">
        <f>HYPERLINK("http://bsdd.buildingsmart.org/#concept/details/3ECIu23J17zRDV6Gm0y7wO","3ECIu23J17zRDV6Gm0y7wO")</f>
        <v>3ECIu23J17zRDV6Gm0y7wO</v>
      </c>
      <c r="I781" s="119" t="s">
        <v>856</v>
      </c>
      <c r="J781" s="209" t="s">
        <v>4756</v>
      </c>
      <c r="K781" s="206"/>
      <c r="L781" s="249" t="str">
        <f t="shared" ca="1" si="33"/>
        <v>flow switch</v>
      </c>
      <c r="M781" s="210"/>
      <c r="N781" s="192" t="s">
        <v>845</v>
      </c>
      <c r="O781" s="192" t="s">
        <v>846</v>
      </c>
      <c r="P781" s="191"/>
      <c r="Q781" s="199" t="s">
        <v>847</v>
      </c>
      <c r="R781" s="197"/>
      <c r="S781" s="210"/>
      <c r="T781" s="203"/>
      <c r="U781" s="200"/>
      <c r="V781" s="200"/>
      <c r="W781" s="201"/>
      <c r="X781" s="201"/>
      <c r="Y781" s="201"/>
      <c r="Z781" s="202" t="str">
        <f t="shared" si="0"/>
        <v>RLOM BuildingElementProxys</v>
      </c>
      <c r="AA781" s="172"/>
      <c r="AB781" s="153"/>
      <c r="AC781" s="153"/>
      <c r="AD781" s="153"/>
      <c r="AE781" s="153"/>
      <c r="AF781" s="153"/>
      <c r="AG781" s="153"/>
      <c r="AH781" s="153"/>
      <c r="AI781" s="153"/>
      <c r="AJ781" s="153"/>
      <c r="AK781" s="153"/>
      <c r="AL781" s="153"/>
      <c r="AM781" s="153"/>
      <c r="AN781" s="153"/>
    </row>
    <row r="782" spans="1:40" ht="21.75" customHeight="1">
      <c r="A782" s="190">
        <v>6</v>
      </c>
      <c r="B782" s="190" t="s">
        <v>469</v>
      </c>
      <c r="C782" s="190">
        <v>61</v>
      </c>
      <c r="D782" s="191" t="s">
        <v>471</v>
      </c>
      <c r="E782" s="192">
        <v>613</v>
      </c>
      <c r="F782" s="192" t="s">
        <v>863</v>
      </c>
      <c r="G782" s="193" t="s">
        <v>476</v>
      </c>
      <c r="H782" s="208" t="str">
        <f>HYPERLINK("http://bsdd.buildingsmart.org/#concept/details/3zfyE91$rDJPZPvcWTYAn3","3zfyE91$rDJPZPvcWTYAn3")</f>
        <v>3zfyE91$rDJPZPvcWTYAn3</v>
      </c>
      <c r="I782" s="119" t="s">
        <v>863</v>
      </c>
      <c r="J782" s="209" t="s">
        <v>4757</v>
      </c>
      <c r="K782" s="206"/>
      <c r="L782" s="249" t="str">
        <f t="shared" ca="1" si="33"/>
        <v>flow switch</v>
      </c>
      <c r="M782" s="210"/>
      <c r="N782" s="192"/>
      <c r="O782" s="203"/>
      <c r="P782" s="191"/>
      <c r="Q782" s="199" t="s">
        <v>847</v>
      </c>
      <c r="R782" s="197"/>
      <c r="S782" s="199"/>
      <c r="T782" s="192"/>
      <c r="U782" s="200"/>
      <c r="V782" s="200"/>
      <c r="W782" s="201"/>
      <c r="X782" s="201"/>
      <c r="Y782" s="201"/>
      <c r="Z782" s="202" t="str">
        <f t="shared" si="0"/>
        <v>RLOM BuildingElementProxys</v>
      </c>
      <c r="AA782" s="172"/>
      <c r="AB782" s="153"/>
      <c r="AC782" s="153"/>
      <c r="AD782" s="153"/>
      <c r="AE782" s="153"/>
      <c r="AF782" s="153"/>
      <c r="AG782" s="153"/>
      <c r="AH782" s="153"/>
      <c r="AI782" s="153"/>
      <c r="AJ782" s="153"/>
      <c r="AK782" s="153"/>
      <c r="AL782" s="153"/>
      <c r="AM782" s="153"/>
      <c r="AN782" s="153"/>
    </row>
    <row r="783" spans="1:40" ht="27" customHeight="1">
      <c r="A783" s="190">
        <v>6</v>
      </c>
      <c r="B783" s="190" t="s">
        <v>469</v>
      </c>
      <c r="C783" s="190">
        <v>61</v>
      </c>
      <c r="D783" s="191" t="s">
        <v>471</v>
      </c>
      <c r="E783" s="192">
        <v>614</v>
      </c>
      <c r="F783" s="192" t="s">
        <v>908</v>
      </c>
      <c r="G783" s="193" t="s">
        <v>923</v>
      </c>
      <c r="H783" s="208" t="str">
        <f>HYPERLINK("http://bsdd.buildingsmart.org/#concept/details/3dFSTIF$X9dv6LRaX4gZ05","3dFSTIF$X9dv6LRaX4gZ05")</f>
        <v>3dFSTIF$X9dv6LRaX4gZ05</v>
      </c>
      <c r="I783" s="119" t="s">
        <v>908</v>
      </c>
      <c r="J783" s="209" t="s">
        <v>4758</v>
      </c>
      <c r="K783" s="206"/>
      <c r="L783" s="249" t="str">
        <f t="shared" ca="1" si="33"/>
        <v>flow switch</v>
      </c>
      <c r="M783" s="210"/>
      <c r="N783" s="192"/>
      <c r="O783" s="203"/>
      <c r="P783" s="191"/>
      <c r="Q783" s="199" t="s">
        <v>847</v>
      </c>
      <c r="R783" s="197"/>
      <c r="S783" s="199"/>
      <c r="T783" s="192"/>
      <c r="U783" s="200"/>
      <c r="V783" s="200"/>
      <c r="W783" s="201"/>
      <c r="X783" s="201"/>
      <c r="Y783" s="201"/>
      <c r="Z783" s="202" t="str">
        <f t="shared" si="0"/>
        <v>RLOM BuildingElementProxys</v>
      </c>
      <c r="AA783" s="172"/>
      <c r="AB783" s="153"/>
      <c r="AC783" s="153"/>
      <c r="AD783" s="153"/>
      <c r="AE783" s="153"/>
      <c r="AF783" s="153"/>
      <c r="AG783" s="153"/>
      <c r="AH783" s="153"/>
      <c r="AI783" s="153"/>
      <c r="AJ783" s="153"/>
      <c r="AK783" s="153"/>
      <c r="AL783" s="153"/>
      <c r="AM783" s="153"/>
      <c r="AN783" s="153"/>
    </row>
    <row r="784" spans="1:40" ht="18" customHeight="1">
      <c r="A784" s="190">
        <v>6</v>
      </c>
      <c r="B784" s="190" t="s">
        <v>469</v>
      </c>
      <c r="C784" s="190">
        <v>61</v>
      </c>
      <c r="D784" s="191" t="s">
        <v>471</v>
      </c>
      <c r="E784" s="192">
        <v>615</v>
      </c>
      <c r="F784" s="192" t="s">
        <v>924</v>
      </c>
      <c r="G784" s="193" t="s">
        <v>476</v>
      </c>
      <c r="H784" s="208" t="str">
        <f>HYPERLINK("http://bsdd.buildingsmart.org/#concept/details/3DteZXWU10CBgvp7cCcNHO","3DteZXWU10CBgvp7cCcNHO")</f>
        <v>3DteZXWU10CBgvp7cCcNHO</v>
      </c>
      <c r="I784" s="119" t="s">
        <v>924</v>
      </c>
      <c r="J784" s="209" t="s">
        <v>4759</v>
      </c>
      <c r="K784" s="191"/>
      <c r="L784" s="249" t="str">
        <f t="shared" ca="1" si="33"/>
        <v>flow switch</v>
      </c>
      <c r="M784" s="210"/>
      <c r="N784" s="192"/>
      <c r="O784" s="203"/>
      <c r="P784" s="206"/>
      <c r="Q784" s="199" t="s">
        <v>847</v>
      </c>
      <c r="R784" s="197"/>
      <c r="S784" s="199"/>
      <c r="T784" s="192"/>
      <c r="U784" s="200"/>
      <c r="V784" s="200"/>
      <c r="W784" s="201"/>
      <c r="X784" s="201"/>
      <c r="Y784" s="201"/>
      <c r="Z784" s="202" t="str">
        <f t="shared" si="0"/>
        <v>RLOM BuildingElementProxys</v>
      </c>
      <c r="AA784" s="172"/>
      <c r="AB784" s="153"/>
      <c r="AC784" s="153"/>
      <c r="AD784" s="153"/>
      <c r="AE784" s="153"/>
      <c r="AF784" s="153"/>
      <c r="AG784" s="153"/>
      <c r="AH784" s="153"/>
      <c r="AI784" s="153"/>
      <c r="AJ784" s="153"/>
      <c r="AK784" s="153"/>
      <c r="AL784" s="153"/>
      <c r="AM784" s="153"/>
      <c r="AN784" s="153"/>
    </row>
    <row r="785" spans="1:40" ht="21.75" customHeight="1">
      <c r="A785" s="190">
        <v>6</v>
      </c>
      <c r="B785" s="190" t="s">
        <v>469</v>
      </c>
      <c r="C785" s="190">
        <v>61</v>
      </c>
      <c r="D785" s="191" t="s">
        <v>471</v>
      </c>
      <c r="E785" s="192">
        <v>619</v>
      </c>
      <c r="F785" s="192" t="s">
        <v>971</v>
      </c>
      <c r="G785" s="193" t="s">
        <v>801</v>
      </c>
      <c r="H785" s="208" t="str">
        <f>HYPERLINK("http://bsdd.buildingsmart.org/#concept/details/0J4zqQ1Lf0DesAK_YhwlrJ","0J4zqQ1Lf0DesAK_YhwlrJ")</f>
        <v>0J4zqQ1Lf0DesAK_YhwlrJ</v>
      </c>
      <c r="I785" s="119" t="s">
        <v>971</v>
      </c>
      <c r="J785" s="209" t="s">
        <v>4760</v>
      </c>
      <c r="K785" s="206"/>
      <c r="L785" s="249" t="str">
        <f t="shared" ca="1" si="33"/>
        <v>flow switch</v>
      </c>
      <c r="M785" s="210"/>
      <c r="N785" s="192"/>
      <c r="O785" s="203"/>
      <c r="P785" s="191"/>
      <c r="Q785" s="199" t="s">
        <v>847</v>
      </c>
      <c r="R785" s="197"/>
      <c r="S785" s="199"/>
      <c r="T785" s="192"/>
      <c r="U785" s="200"/>
      <c r="V785" s="200"/>
      <c r="W785" s="201"/>
      <c r="X785" s="201"/>
      <c r="Y785" s="201"/>
      <c r="Z785" s="202" t="str">
        <f t="shared" si="0"/>
        <v>RLOM BuildingElementProxys</v>
      </c>
      <c r="AA785" s="172"/>
      <c r="AB785" s="153"/>
      <c r="AC785" s="153"/>
      <c r="AD785" s="153"/>
      <c r="AE785" s="153"/>
      <c r="AF785" s="153"/>
      <c r="AG785" s="153"/>
      <c r="AH785" s="153"/>
      <c r="AI785" s="153"/>
      <c r="AJ785" s="153"/>
      <c r="AK785" s="153"/>
      <c r="AL785" s="153"/>
      <c r="AM785" s="153"/>
      <c r="AN785" s="153"/>
    </row>
    <row r="786" spans="1:40" ht="33" customHeight="1">
      <c r="A786" s="190">
        <v>6</v>
      </c>
      <c r="B786" s="190" t="s">
        <v>469</v>
      </c>
      <c r="C786" s="190">
        <v>62</v>
      </c>
      <c r="D786" s="191" t="s">
        <v>997</v>
      </c>
      <c r="E786" s="192">
        <v>621</v>
      </c>
      <c r="F786" s="192" t="s">
        <v>999</v>
      </c>
      <c r="G786" s="193" t="s">
        <v>1000</v>
      </c>
      <c r="H786" s="212" t="str">
        <f>HYPERLINK("http://bsdd.buildingsmart.org/#concept/details/3vHX1_oT0Hsm00051Mm008","3vHX1_oT0Hsm00051Mm008")</f>
        <v>3vHX1_oT0Hsm00051Mm008</v>
      </c>
      <c r="I786" s="119" t="s">
        <v>1001</v>
      </c>
      <c r="J786" s="209" t="s">
        <v>4761</v>
      </c>
      <c r="K786" s="193"/>
      <c r="L786" s="248" t="s">
        <v>4762</v>
      </c>
      <c r="M786" s="210"/>
      <c r="N786" s="192" t="s">
        <v>1003</v>
      </c>
      <c r="O786" s="192" t="s">
        <v>1004</v>
      </c>
      <c r="P786" s="193" t="s">
        <v>1005</v>
      </c>
      <c r="Q786" s="199" t="s">
        <v>1006</v>
      </c>
      <c r="R786" s="199" t="s">
        <v>1007</v>
      </c>
      <c r="S786" s="206" t="s">
        <v>1008</v>
      </c>
      <c r="T786" s="192"/>
      <c r="U786" s="200"/>
      <c r="V786" s="200"/>
      <c r="W786" s="201"/>
      <c r="X786" s="201"/>
      <c r="Y786" s="201"/>
      <c r="Z786" s="202" t="str">
        <f t="shared" si="0"/>
        <v>RLOM TransportElements</v>
      </c>
      <c r="AA786" s="172"/>
      <c r="AB786" s="153"/>
      <c r="AC786" s="153"/>
      <c r="AD786" s="153"/>
      <c r="AE786" s="153"/>
      <c r="AF786" s="153"/>
      <c r="AG786" s="153"/>
      <c r="AH786" s="153"/>
      <c r="AI786" s="153"/>
      <c r="AJ786" s="153"/>
      <c r="AK786" s="153"/>
      <c r="AL786" s="153"/>
      <c r="AM786" s="153"/>
      <c r="AN786" s="153"/>
    </row>
    <row r="787" spans="1:40" ht="18" customHeight="1">
      <c r="A787" s="190">
        <v>6</v>
      </c>
      <c r="B787" s="190" t="s">
        <v>469</v>
      </c>
      <c r="C787" s="190">
        <v>62</v>
      </c>
      <c r="D787" s="191" t="s">
        <v>997</v>
      </c>
      <c r="E787" s="192">
        <v>622</v>
      </c>
      <c r="F787" s="192" t="s">
        <v>1010</v>
      </c>
      <c r="G787" s="193"/>
      <c r="H787" s="212" t="str">
        <f>HYPERLINK("http://bsdd.buildingsmart.org/#concept/details/3vHZncoT0Hsm00051Mm008","3vHZncoT0Hsm00051Mm008")</f>
        <v>3vHZncoT0Hsm00051Mm008</v>
      </c>
      <c r="I787" s="119" t="s">
        <v>1012</v>
      </c>
      <c r="J787" s="209" t="s">
        <v>4763</v>
      </c>
      <c r="K787" s="193"/>
      <c r="L787" s="248" t="s">
        <v>4764</v>
      </c>
      <c r="M787" s="210"/>
      <c r="N787" s="192" t="s">
        <v>1003</v>
      </c>
      <c r="O787" s="192"/>
      <c r="P787" s="193"/>
      <c r="Q787" s="199" t="s">
        <v>1006</v>
      </c>
      <c r="R787" s="199" t="s">
        <v>1007</v>
      </c>
      <c r="S787" s="206" t="s">
        <v>1043</v>
      </c>
      <c r="T787" s="192"/>
      <c r="U787" s="200"/>
      <c r="V787" s="200"/>
      <c r="W787" s="201"/>
      <c r="X787" s="201"/>
      <c r="Y787" s="201"/>
      <c r="Z787" s="202" t="str">
        <f t="shared" si="0"/>
        <v>RLOM TransportElements</v>
      </c>
      <c r="AA787" s="172"/>
      <c r="AB787" s="153"/>
      <c r="AC787" s="153"/>
      <c r="AD787" s="153"/>
      <c r="AE787" s="153"/>
      <c r="AF787" s="153"/>
      <c r="AG787" s="153"/>
      <c r="AH787" s="153"/>
      <c r="AI787" s="153"/>
      <c r="AJ787" s="153"/>
      <c r="AK787" s="153"/>
      <c r="AL787" s="153"/>
      <c r="AM787" s="153"/>
      <c r="AN787" s="153"/>
    </row>
    <row r="788" spans="1:40" ht="18" customHeight="1">
      <c r="A788" s="190">
        <v>6</v>
      </c>
      <c r="B788" s="190" t="s">
        <v>469</v>
      </c>
      <c r="C788" s="190">
        <v>62</v>
      </c>
      <c r="D788" s="191" t="s">
        <v>997</v>
      </c>
      <c r="E788" s="192">
        <v>623</v>
      </c>
      <c r="F788" s="192" t="s">
        <v>1044</v>
      </c>
      <c r="G788" s="193" t="s">
        <v>1045</v>
      </c>
      <c r="H788" s="212" t="str">
        <f>HYPERLINK("http://bsdd.buildingsmart.org/#concept/details/38Jxc0WJOHu000025QrE$V","38Jxc0WJOHu000025QrE$V")</f>
        <v>38Jxc0WJOHu000025QrE$V</v>
      </c>
      <c r="I788" s="119" t="s">
        <v>1044</v>
      </c>
      <c r="J788" s="209" t="s">
        <v>4765</v>
      </c>
      <c r="K788" s="193"/>
      <c r="L788" s="248" t="s">
        <v>4766</v>
      </c>
      <c r="M788" s="210"/>
      <c r="N788" s="192" t="s">
        <v>1003</v>
      </c>
      <c r="O788" s="192"/>
      <c r="P788" s="193"/>
      <c r="Q788" s="199" t="s">
        <v>1006</v>
      </c>
      <c r="R788" s="199" t="s">
        <v>1007</v>
      </c>
      <c r="S788" s="206" t="s">
        <v>1052</v>
      </c>
      <c r="T788" s="192"/>
      <c r="U788" s="200"/>
      <c r="V788" s="200"/>
      <c r="W788" s="201"/>
      <c r="X788" s="201"/>
      <c r="Y788" s="201"/>
      <c r="Z788" s="202" t="str">
        <f t="shared" si="0"/>
        <v>RLOM TransportElements</v>
      </c>
      <c r="AA788" s="172"/>
      <c r="AB788" s="153"/>
      <c r="AC788" s="153"/>
      <c r="AD788" s="153"/>
      <c r="AE788" s="153"/>
      <c r="AF788" s="153"/>
      <c r="AG788" s="153"/>
      <c r="AH788" s="153"/>
      <c r="AI788" s="153"/>
      <c r="AJ788" s="153"/>
      <c r="AK788" s="153"/>
      <c r="AL788" s="153"/>
      <c r="AM788" s="153"/>
      <c r="AN788" s="153"/>
    </row>
    <row r="789" spans="1:40" ht="18" customHeight="1">
      <c r="A789" s="190">
        <v>6</v>
      </c>
      <c r="B789" s="190" t="s">
        <v>469</v>
      </c>
      <c r="C789" s="190">
        <v>62</v>
      </c>
      <c r="D789" s="191" t="s">
        <v>997</v>
      </c>
      <c r="E789" s="192">
        <v>624</v>
      </c>
      <c r="F789" s="192" t="s">
        <v>1075</v>
      </c>
      <c r="G789" s="193" t="s">
        <v>1076</v>
      </c>
      <c r="H789" s="212" t="str">
        <f>HYPERLINK("http://bsdd.buildingsmart.org/#concept/details/3WXnhPDIj4UPfaXYiyVhUv","3WXnhPDIj4UPfaXYiyVhUv")</f>
        <v>3WXnhPDIj4UPfaXYiyVhUv</v>
      </c>
      <c r="I789" s="119" t="s">
        <v>1075</v>
      </c>
      <c r="J789" s="209" t="s">
        <v>4767</v>
      </c>
      <c r="K789" s="193"/>
      <c r="L789" s="250" t="str">
        <f t="shared" ref="L789:L790" ca="1" si="34">IFERROR(__xludf.DUMMYFUNCTION(GOOGLETRANSLATE(J789,"no","en")),"lifting tables")</f>
        <v>lifting tables</v>
      </c>
      <c r="M789" s="210"/>
      <c r="N789" s="192" t="s">
        <v>1003</v>
      </c>
      <c r="O789" s="192"/>
      <c r="P789" s="193"/>
      <c r="Q789" s="199" t="s">
        <v>1006</v>
      </c>
      <c r="R789" s="207"/>
      <c r="S789" s="207"/>
      <c r="T789" s="192"/>
      <c r="U789" s="200"/>
      <c r="V789" s="200"/>
      <c r="W789" s="201"/>
      <c r="X789" s="201"/>
      <c r="Y789" s="201"/>
      <c r="Z789" s="202" t="str">
        <f t="shared" si="0"/>
        <v>RLOM TransportElements</v>
      </c>
      <c r="AA789" s="172"/>
      <c r="AB789" s="153"/>
      <c r="AC789" s="153"/>
      <c r="AD789" s="153"/>
      <c r="AE789" s="153"/>
      <c r="AF789" s="153"/>
      <c r="AG789" s="153"/>
      <c r="AH789" s="153"/>
      <c r="AI789" s="153"/>
      <c r="AJ789" s="153"/>
      <c r="AK789" s="153"/>
      <c r="AL789" s="153"/>
      <c r="AM789" s="153"/>
      <c r="AN789" s="153"/>
    </row>
    <row r="790" spans="1:40" ht="18" customHeight="1">
      <c r="A790" s="190">
        <v>6</v>
      </c>
      <c r="B790" s="190" t="s">
        <v>469</v>
      </c>
      <c r="C790" s="190">
        <v>62</v>
      </c>
      <c r="D790" s="191" t="s">
        <v>997</v>
      </c>
      <c r="E790" s="192">
        <v>625</v>
      </c>
      <c r="F790" s="192" t="s">
        <v>1078</v>
      </c>
      <c r="G790" s="193"/>
      <c r="H790" s="212" t="str">
        <f>HYPERLINK("http://bsdd.buildingsmart.org/#concept/details/0eKDYuDl13Yw7fY1LfQhz6","0eKDYuDl13Yw7fY1LfQhz6")</f>
        <v>0eKDYuDl13Yw7fY1LfQhz6</v>
      </c>
      <c r="I790" s="119" t="s">
        <v>1080</v>
      </c>
      <c r="J790" s="209" t="s">
        <v>4768</v>
      </c>
      <c r="K790" s="193"/>
      <c r="L790" s="250" t="str">
        <f t="shared" ca="1" si="34"/>
        <v>lifting tables</v>
      </c>
      <c r="M790" s="210"/>
      <c r="N790" s="192" t="s">
        <v>1003</v>
      </c>
      <c r="O790" s="192"/>
      <c r="P790" s="193"/>
      <c r="Q790" s="199" t="s">
        <v>1006</v>
      </c>
      <c r="R790" s="207"/>
      <c r="S790" s="207"/>
      <c r="T790" s="192"/>
      <c r="U790" s="200"/>
      <c r="V790" s="200"/>
      <c r="W790" s="201"/>
      <c r="X790" s="201"/>
      <c r="Y790" s="201"/>
      <c r="Z790" s="202" t="str">
        <f t="shared" si="0"/>
        <v>RLOM TransportElements</v>
      </c>
      <c r="AA790" s="172"/>
      <c r="AB790" s="153"/>
      <c r="AC790" s="153"/>
      <c r="AD790" s="153"/>
      <c r="AE790" s="153"/>
      <c r="AF790" s="153"/>
      <c r="AG790" s="153"/>
      <c r="AH790" s="153"/>
      <c r="AI790" s="153"/>
      <c r="AJ790" s="153"/>
      <c r="AK790" s="153"/>
      <c r="AL790" s="153"/>
      <c r="AM790" s="153"/>
      <c r="AN790" s="153"/>
    </row>
    <row r="791" spans="1:40" ht="18" customHeight="1">
      <c r="A791" s="190">
        <v>6</v>
      </c>
      <c r="B791" s="190" t="s">
        <v>469</v>
      </c>
      <c r="C791" s="190">
        <v>62</v>
      </c>
      <c r="D791" s="191" t="s">
        <v>997</v>
      </c>
      <c r="E791" s="192" t="s">
        <v>4769</v>
      </c>
      <c r="F791" s="192" t="s">
        <v>1091</v>
      </c>
      <c r="G791" s="193" t="s">
        <v>1093</v>
      </c>
      <c r="H791" s="212" t="str">
        <f>HYPERLINK("http://bsdd.buildingsmart.org/#concept/details/3vHVckoT0Hsm00051Mm008","3vHVckoT0Hsm00051Mm008")</f>
        <v>3vHVckoT0Hsm00051Mm008</v>
      </c>
      <c r="I791" s="119" t="s">
        <v>1094</v>
      </c>
      <c r="J791" s="209" t="s">
        <v>4770</v>
      </c>
      <c r="K791" s="193"/>
      <c r="L791" s="248" t="s">
        <v>4771</v>
      </c>
      <c r="M791" s="210"/>
      <c r="N791" s="192" t="s">
        <v>1096</v>
      </c>
      <c r="O791" s="192"/>
      <c r="P791" s="193"/>
      <c r="Q791" s="199" t="s">
        <v>1006</v>
      </c>
      <c r="R791" s="199" t="s">
        <v>1007</v>
      </c>
      <c r="S791" s="206" t="s">
        <v>1097</v>
      </c>
      <c r="T791" s="192"/>
      <c r="U791" s="218"/>
      <c r="V791" s="200"/>
      <c r="W791" s="201"/>
      <c r="X791" s="201"/>
      <c r="Y791" s="201"/>
      <c r="Z791" s="202" t="str">
        <f t="shared" si="0"/>
        <v>RLOM TransportElements</v>
      </c>
      <c r="AA791" s="172"/>
      <c r="AB791" s="153"/>
      <c r="AC791" s="153"/>
      <c r="AD791" s="153"/>
      <c r="AE791" s="153"/>
      <c r="AF791" s="153"/>
      <c r="AG791" s="153"/>
      <c r="AH791" s="153"/>
      <c r="AI791" s="153"/>
      <c r="AJ791" s="153"/>
      <c r="AK791" s="153"/>
      <c r="AL791" s="153"/>
      <c r="AM791" s="153"/>
      <c r="AN791" s="153"/>
    </row>
    <row r="792" spans="1:40" ht="18" customHeight="1">
      <c r="A792" s="190">
        <v>6</v>
      </c>
      <c r="B792" s="190" t="s">
        <v>469</v>
      </c>
      <c r="C792" s="190">
        <v>62</v>
      </c>
      <c r="D792" s="191" t="s">
        <v>997</v>
      </c>
      <c r="E792" s="192" t="s">
        <v>4769</v>
      </c>
      <c r="F792" s="192" t="s">
        <v>1091</v>
      </c>
      <c r="G792" s="193" t="s">
        <v>1093</v>
      </c>
      <c r="H792" s="212" t="str">
        <f>HYPERLINK("http://bsdd.buildingsmart.org/#concept/details/2C9tXhH0H9mQlgnlzymNAm","2C9tXhH0H9mQlgnlzymNAm")</f>
        <v>2C9tXhH0H9mQlgnlzymNAm</v>
      </c>
      <c r="I792" s="119" t="s">
        <v>1112</v>
      </c>
      <c r="J792" s="209" t="s">
        <v>4772</v>
      </c>
      <c r="K792" s="193"/>
      <c r="L792" s="250" t="str">
        <f t="shared" ref="L792:L795" ca="1" si="35">IFERROR(__xludf.DUMMYFUNCTION(GOOGLETRANSLATE(J792,"no","en")),"Pulley")</f>
        <v>Pulley</v>
      </c>
      <c r="M792" s="210"/>
      <c r="N792" s="192" t="s">
        <v>1096</v>
      </c>
      <c r="O792" s="192"/>
      <c r="P792" s="193"/>
      <c r="Q792" s="199" t="s">
        <v>1006</v>
      </c>
      <c r="R792" s="199" t="s">
        <v>1007</v>
      </c>
      <c r="S792" s="206" t="s">
        <v>1114</v>
      </c>
      <c r="T792" s="192"/>
      <c r="U792" s="218"/>
      <c r="V792" s="200"/>
      <c r="W792" s="201"/>
      <c r="X792" s="201"/>
      <c r="Y792" s="201"/>
      <c r="Z792" s="202" t="str">
        <f t="shared" si="0"/>
        <v>RLOM TransportElements</v>
      </c>
      <c r="AA792" s="172"/>
      <c r="AB792" s="153"/>
      <c r="AC792" s="153"/>
      <c r="AD792" s="153"/>
      <c r="AE792" s="153"/>
      <c r="AF792" s="153"/>
      <c r="AG792" s="153"/>
      <c r="AH792" s="153"/>
      <c r="AI792" s="153"/>
      <c r="AJ792" s="153"/>
      <c r="AK792" s="153"/>
      <c r="AL792" s="153"/>
      <c r="AM792" s="153"/>
      <c r="AN792" s="153"/>
    </row>
    <row r="793" spans="1:40" ht="27" customHeight="1">
      <c r="A793" s="190">
        <v>6</v>
      </c>
      <c r="B793" s="190" t="s">
        <v>469</v>
      </c>
      <c r="C793" s="190">
        <v>62</v>
      </c>
      <c r="D793" s="191" t="s">
        <v>997</v>
      </c>
      <c r="E793" s="192">
        <v>627</v>
      </c>
      <c r="F793" s="192" t="s">
        <v>1117</v>
      </c>
      <c r="G793" s="193" t="s">
        <v>1118</v>
      </c>
      <c r="H793" s="212" t="str">
        <f>HYPERLINK("http://bsdd.buildingsmart.org/#concept/details/2wyCkTzrT02w5z2Cqu8u8F","2wyCkTzrT02w5z2Cqu8u8F")</f>
        <v>2wyCkTzrT02w5z2Cqu8u8F</v>
      </c>
      <c r="I793" s="119" t="s">
        <v>1119</v>
      </c>
      <c r="J793" s="209" t="s">
        <v>4773</v>
      </c>
      <c r="K793" s="193"/>
      <c r="L793" s="250" t="str">
        <f t="shared" ca="1" si="35"/>
        <v>Pulley</v>
      </c>
      <c r="M793" s="210"/>
      <c r="N793" s="192" t="s">
        <v>1003</v>
      </c>
      <c r="O793" s="192"/>
      <c r="P793" s="193"/>
      <c r="Q793" s="199" t="s">
        <v>1006</v>
      </c>
      <c r="R793" s="207"/>
      <c r="S793" s="207"/>
      <c r="T793" s="192"/>
      <c r="U793" s="200"/>
      <c r="V793" s="200"/>
      <c r="W793" s="201"/>
      <c r="X793" s="201"/>
      <c r="Y793" s="201"/>
      <c r="Z793" s="202" t="str">
        <f t="shared" si="0"/>
        <v>RLOM TransportElements</v>
      </c>
      <c r="AA793" s="172"/>
      <c r="AB793" s="153"/>
      <c r="AC793" s="153"/>
      <c r="AD793" s="153"/>
      <c r="AE793" s="153"/>
      <c r="AF793" s="153"/>
      <c r="AG793" s="153"/>
      <c r="AH793" s="153"/>
      <c r="AI793" s="153"/>
      <c r="AJ793" s="153"/>
      <c r="AK793" s="153"/>
      <c r="AL793" s="153"/>
      <c r="AM793" s="153"/>
      <c r="AN793" s="153"/>
    </row>
    <row r="794" spans="1:40" ht="18" customHeight="1">
      <c r="A794" s="190">
        <v>6</v>
      </c>
      <c r="B794" s="190" t="s">
        <v>469</v>
      </c>
      <c r="C794" s="190">
        <v>62</v>
      </c>
      <c r="D794" s="191" t="s">
        <v>997</v>
      </c>
      <c r="E794" s="192">
        <v>627</v>
      </c>
      <c r="F794" s="192" t="s">
        <v>1117</v>
      </c>
      <c r="G794" s="193" t="s">
        <v>1157</v>
      </c>
      <c r="H794" s="212" t="str">
        <f>HYPERLINK("http://bsdd.buildingsmart.org/#concept/details/1SLChd_u9EGOQCU6yiSBk5","1SLChd_u9EGOQCU6yiSBk5")</f>
        <v>1SLChd_u9EGOQCU6yiSBk5</v>
      </c>
      <c r="I794" s="119" t="s">
        <v>5207</v>
      </c>
      <c r="J794" s="209" t="s">
        <v>4774</v>
      </c>
      <c r="K794" s="193"/>
      <c r="L794" s="250" t="str">
        <f t="shared" ca="1" si="35"/>
        <v>Pulley</v>
      </c>
      <c r="M794" s="210"/>
      <c r="N794" s="192"/>
      <c r="O794" s="192"/>
      <c r="P794" s="193"/>
      <c r="Q794" s="199" t="s">
        <v>1006</v>
      </c>
      <c r="R794" s="207"/>
      <c r="S794" s="207"/>
      <c r="T794" s="192"/>
      <c r="U794" s="200"/>
      <c r="V794" s="200"/>
      <c r="W794" s="201"/>
      <c r="X794" s="201"/>
      <c r="Y794" s="201"/>
      <c r="Z794" s="202" t="str">
        <f t="shared" si="0"/>
        <v>RLOM TransportElements</v>
      </c>
      <c r="AA794" s="172"/>
      <c r="AB794" s="153"/>
      <c r="AC794" s="153"/>
      <c r="AD794" s="153"/>
      <c r="AE794" s="153"/>
      <c r="AF794" s="153"/>
      <c r="AG794" s="153"/>
      <c r="AH794" s="153"/>
      <c r="AI794" s="153"/>
      <c r="AJ794" s="153"/>
      <c r="AK794" s="153"/>
      <c r="AL794" s="153"/>
      <c r="AM794" s="153"/>
      <c r="AN794" s="153"/>
    </row>
    <row r="795" spans="1:40" ht="24" customHeight="1">
      <c r="A795" s="190">
        <v>6</v>
      </c>
      <c r="B795" s="190" t="s">
        <v>469</v>
      </c>
      <c r="C795" s="190">
        <v>62</v>
      </c>
      <c r="D795" s="191" t="s">
        <v>997</v>
      </c>
      <c r="E795" s="192">
        <v>627</v>
      </c>
      <c r="F795" s="192" t="s">
        <v>1117</v>
      </c>
      <c r="G795" s="193" t="s">
        <v>1157</v>
      </c>
      <c r="H795" s="212" t="str">
        <f>HYPERLINK("http://bsdd.buildingsmart.org/#concept/details/3l1bGOhlzEgxAPpyyoxWzi","3l1bGOhlzEgxAPpyyoxWzi")</f>
        <v>3l1bGOhlzEgxAPpyyoxWzi</v>
      </c>
      <c r="I795" s="119" t="s">
        <v>5208</v>
      </c>
      <c r="J795" s="209" t="s">
        <v>4775</v>
      </c>
      <c r="K795" s="206" t="s">
        <v>1166</v>
      </c>
      <c r="L795" s="250" t="str">
        <f t="shared" ca="1" si="35"/>
        <v>Pulley</v>
      </c>
      <c r="M795" s="210"/>
      <c r="N795" s="192"/>
      <c r="O795" s="192"/>
      <c r="P795" s="193"/>
      <c r="Q795" s="199" t="s">
        <v>1006</v>
      </c>
      <c r="R795" s="207"/>
      <c r="S795" s="207"/>
      <c r="T795" s="192"/>
      <c r="U795" s="200"/>
      <c r="V795" s="200"/>
      <c r="W795" s="201"/>
      <c r="X795" s="201"/>
      <c r="Y795" s="201"/>
      <c r="Z795" s="202" t="str">
        <f t="shared" si="0"/>
        <v>RLOM TransportElements</v>
      </c>
      <c r="AA795" s="172"/>
      <c r="AB795" s="153"/>
      <c r="AC795" s="153"/>
      <c r="AD795" s="153"/>
      <c r="AE795" s="153"/>
      <c r="AF795" s="153"/>
      <c r="AG795" s="153"/>
      <c r="AH795" s="153"/>
      <c r="AI795" s="153"/>
      <c r="AJ795" s="153"/>
      <c r="AK795" s="153"/>
      <c r="AL795" s="153"/>
      <c r="AM795" s="153"/>
      <c r="AN795" s="153"/>
    </row>
    <row r="796" spans="1:40" ht="18" customHeight="1">
      <c r="A796" s="190">
        <v>7</v>
      </c>
      <c r="B796" s="190" t="s">
        <v>797</v>
      </c>
      <c r="C796" s="190">
        <v>71</v>
      </c>
      <c r="D796" s="191" t="s">
        <v>798</v>
      </c>
      <c r="E796" s="237">
        <v>719</v>
      </c>
      <c r="F796" s="193" t="s">
        <v>799</v>
      </c>
      <c r="G796" s="193" t="s">
        <v>801</v>
      </c>
      <c r="H796" s="212" t="str">
        <f>HYPERLINK("http://bsdd.buildingsmart.org/#concept/details/2lgJGQqhnABPKfLYW77RFH","2lgJGQqhnABPKfLYW77RFH")</f>
        <v>2lgJGQqhnABPKfLYW77RFH</v>
      </c>
      <c r="I796" s="123" t="s">
        <v>803</v>
      </c>
      <c r="J796" s="195" t="s">
        <v>4776</v>
      </c>
      <c r="K796" s="193"/>
      <c r="L796" s="248" t="s">
        <v>4777</v>
      </c>
      <c r="M796" s="192"/>
      <c r="N796" s="192"/>
      <c r="O796" s="192"/>
      <c r="P796" s="193"/>
      <c r="Q796" s="199" t="s">
        <v>847</v>
      </c>
      <c r="R796" s="207"/>
      <c r="S796" s="207"/>
      <c r="T796" s="199"/>
      <c r="U796" s="200"/>
      <c r="V796" s="200"/>
      <c r="W796" s="200"/>
      <c r="X796" s="201"/>
      <c r="Y796" s="201"/>
      <c r="Z796" s="202" t="str">
        <f t="shared" si="0"/>
        <v>RLOM BuildingElementProxys</v>
      </c>
      <c r="AA796" s="172"/>
      <c r="AB796" s="153"/>
      <c r="AC796" s="153"/>
      <c r="AD796" s="153"/>
      <c r="AE796" s="153"/>
      <c r="AF796" s="153"/>
      <c r="AG796" s="153"/>
      <c r="AH796" s="153"/>
      <c r="AI796" s="153"/>
      <c r="AJ796" s="153"/>
      <c r="AK796" s="153"/>
      <c r="AL796" s="153"/>
      <c r="AM796" s="153"/>
      <c r="AN796" s="153"/>
    </row>
    <row r="797" spans="1:40" ht="21.75" customHeight="1">
      <c r="A797" s="190">
        <v>7</v>
      </c>
      <c r="B797" s="190" t="s">
        <v>797</v>
      </c>
      <c r="C797" s="190">
        <v>72</v>
      </c>
      <c r="D797" s="191" t="s">
        <v>836</v>
      </c>
      <c r="E797" s="192">
        <v>721</v>
      </c>
      <c r="F797" s="192" t="s">
        <v>838</v>
      </c>
      <c r="G797" s="193" t="s">
        <v>862</v>
      </c>
      <c r="H797" s="212" t="str">
        <f>HYPERLINK("http://bsdd.buildingsmart.org/#concept/details/0NGp3VblXDxg9Q0GlbEB9j","0NGp3VblXDxg9Q0GlbEB9j")</f>
        <v>0NGp3VblXDxg9Q0GlbEB9j</v>
      </c>
      <c r="I797" s="123" t="s">
        <v>5209</v>
      </c>
      <c r="J797" s="195" t="s">
        <v>4778</v>
      </c>
      <c r="K797" s="206"/>
      <c r="L797" s="248" t="s">
        <v>4779</v>
      </c>
      <c r="M797" s="210"/>
      <c r="N797" s="203" t="s">
        <v>1387</v>
      </c>
      <c r="O797" s="192" t="s">
        <v>865</v>
      </c>
      <c r="P797" s="206" t="s">
        <v>1392</v>
      </c>
      <c r="Q797" s="199" t="s">
        <v>800</v>
      </c>
      <c r="R797" s="199" t="s">
        <v>802</v>
      </c>
      <c r="S797" s="199" t="s">
        <v>804</v>
      </c>
      <c r="T797" s="199" t="s">
        <v>1398</v>
      </c>
      <c r="U797" s="200"/>
      <c r="V797" s="200"/>
      <c r="W797" s="201"/>
      <c r="X797" s="201"/>
      <c r="Y797" s="201"/>
      <c r="Z797" s="202" t="str">
        <f t="shared" si="0"/>
        <v>RLOM Walls</v>
      </c>
      <c r="AA797" s="172"/>
      <c r="AB797" s="153"/>
      <c r="AC797" s="153"/>
      <c r="AD797" s="153"/>
      <c r="AE797" s="153"/>
      <c r="AF797" s="153"/>
      <c r="AG797" s="153"/>
      <c r="AH797" s="153"/>
      <c r="AI797" s="153"/>
      <c r="AJ797" s="153"/>
      <c r="AK797" s="153"/>
      <c r="AL797" s="153"/>
      <c r="AM797" s="153"/>
      <c r="AN797" s="153"/>
    </row>
    <row r="798" spans="1:40" ht="18" customHeight="1">
      <c r="A798" s="190">
        <v>7</v>
      </c>
      <c r="B798" s="190" t="s">
        <v>797</v>
      </c>
      <c r="C798" s="190">
        <v>72</v>
      </c>
      <c r="D798" s="191" t="s">
        <v>836</v>
      </c>
      <c r="E798" s="237">
        <v>721</v>
      </c>
      <c r="F798" s="193" t="s">
        <v>838</v>
      </c>
      <c r="G798" s="193" t="s">
        <v>862</v>
      </c>
      <c r="H798" s="212" t="str">
        <f>HYPERLINK("http://bsdd.buildingsmart.org/#concept/details/3vHPy4oT0Hsm00051Mm008","3vHPy4oT0Hsm00051Mm008")</f>
        <v>3vHPy4oT0Hsm00051Mm008</v>
      </c>
      <c r="I798" s="123" t="s">
        <v>865</v>
      </c>
      <c r="J798" s="195" t="s">
        <v>4780</v>
      </c>
      <c r="K798" s="191"/>
      <c r="L798" s="248" t="s">
        <v>4781</v>
      </c>
      <c r="M798" s="210"/>
      <c r="N798" s="203"/>
      <c r="O798" s="203"/>
      <c r="P798" s="191"/>
      <c r="Q798" s="199" t="s">
        <v>800</v>
      </c>
      <c r="R798" s="199"/>
      <c r="S798" s="199"/>
      <c r="T798" s="199"/>
      <c r="U798" s="200"/>
      <c r="V798" s="200"/>
      <c r="W798" s="200"/>
      <c r="X798" s="226"/>
      <c r="Y798" s="226"/>
      <c r="Z798" s="202" t="str">
        <f t="shared" si="0"/>
        <v>RLOM Walls</v>
      </c>
      <c r="AA798" s="172"/>
      <c r="AB798" s="153"/>
      <c r="AC798" s="153"/>
      <c r="AD798" s="153"/>
      <c r="AE798" s="153"/>
      <c r="AF798" s="153"/>
      <c r="AG798" s="153"/>
      <c r="AH798" s="153"/>
      <c r="AI798" s="153"/>
      <c r="AJ798" s="153"/>
      <c r="AK798" s="153"/>
      <c r="AL798" s="153"/>
      <c r="AM798" s="153"/>
      <c r="AN798" s="153"/>
    </row>
    <row r="799" spans="1:40" ht="18" customHeight="1">
      <c r="A799" s="190">
        <v>7</v>
      </c>
      <c r="B799" s="190" t="s">
        <v>797</v>
      </c>
      <c r="C799" s="190">
        <v>72</v>
      </c>
      <c r="D799" s="191" t="s">
        <v>836</v>
      </c>
      <c r="E799" s="237">
        <v>721</v>
      </c>
      <c r="F799" s="193" t="s">
        <v>838</v>
      </c>
      <c r="G799" s="193" t="s">
        <v>862</v>
      </c>
      <c r="H799" s="212" t="str">
        <f>HYPERLINK("http://bsdd.buildingsmart.org/#concept/details/3jPkRxIU57W8oODWFsQ777","3jPkRxIU57W8oODWFsQ777")</f>
        <v>3jPkRxIU57W8oODWFsQ777</v>
      </c>
      <c r="I799" s="123" t="s">
        <v>5210</v>
      </c>
      <c r="J799" s="195" t="s">
        <v>4782</v>
      </c>
      <c r="K799" s="191"/>
      <c r="L799" s="248" t="s">
        <v>4783</v>
      </c>
      <c r="M799" s="210"/>
      <c r="N799" s="203"/>
      <c r="O799" s="203"/>
      <c r="P799" s="191"/>
      <c r="Q799" s="199" t="s">
        <v>800</v>
      </c>
      <c r="R799" s="199"/>
      <c r="S799" s="199"/>
      <c r="T799" s="199"/>
      <c r="U799" s="200"/>
      <c r="V799" s="200"/>
      <c r="W799" s="200"/>
      <c r="X799" s="226"/>
      <c r="Y799" s="226"/>
      <c r="Z799" s="202" t="str">
        <f t="shared" si="0"/>
        <v>RLOM Walls</v>
      </c>
      <c r="AA799" s="172"/>
      <c r="AB799" s="153"/>
      <c r="AC799" s="153"/>
      <c r="AD799" s="153"/>
      <c r="AE799" s="153"/>
      <c r="AF799" s="153"/>
      <c r="AG799" s="153"/>
      <c r="AH799" s="153"/>
      <c r="AI799" s="153"/>
      <c r="AJ799" s="153"/>
      <c r="AK799" s="153"/>
      <c r="AL799" s="153"/>
      <c r="AM799" s="153"/>
      <c r="AN799" s="153"/>
    </row>
    <row r="800" spans="1:40" ht="18" customHeight="1">
      <c r="A800" s="190">
        <v>7</v>
      </c>
      <c r="B800" s="190" t="s">
        <v>797</v>
      </c>
      <c r="C800" s="190">
        <v>72</v>
      </c>
      <c r="D800" s="191" t="s">
        <v>836</v>
      </c>
      <c r="E800" s="237">
        <v>721</v>
      </c>
      <c r="F800" s="193" t="s">
        <v>838</v>
      </c>
      <c r="G800" s="193" t="s">
        <v>862</v>
      </c>
      <c r="H800" s="212" t="str">
        <f>HYPERLINK("http://bsdd.buildingsmart.org/#concept/details/1IT0o0ZK4Ht00000PR1IRl","1IT0o0ZK4Ht00000PR1IRl")</f>
        <v>1IT0o0ZK4Ht00000PR1IRl</v>
      </c>
      <c r="I800" s="123" t="s">
        <v>5211</v>
      </c>
      <c r="J800" s="195" t="s">
        <v>4784</v>
      </c>
      <c r="K800" s="191"/>
      <c r="L800" s="248" t="s">
        <v>4785</v>
      </c>
      <c r="M800" s="210"/>
      <c r="N800" s="203"/>
      <c r="O800" s="203"/>
      <c r="P800" s="191"/>
      <c r="Q800" s="199" t="s">
        <v>800</v>
      </c>
      <c r="R800" s="199"/>
      <c r="S800" s="199"/>
      <c r="T800" s="199"/>
      <c r="U800" s="200"/>
      <c r="V800" s="200"/>
      <c r="W800" s="200"/>
      <c r="X800" s="226"/>
      <c r="Y800" s="226"/>
      <c r="Z800" s="202" t="str">
        <f t="shared" si="0"/>
        <v>RLOM Walls</v>
      </c>
      <c r="AA800" s="172"/>
      <c r="AB800" s="153"/>
      <c r="AC800" s="153"/>
      <c r="AD800" s="153"/>
      <c r="AE800" s="153"/>
      <c r="AF800" s="153"/>
      <c r="AG800" s="153"/>
      <c r="AH800" s="153"/>
      <c r="AI800" s="153"/>
      <c r="AJ800" s="153"/>
      <c r="AK800" s="153"/>
      <c r="AL800" s="153"/>
      <c r="AM800" s="153"/>
      <c r="AN800" s="153"/>
    </row>
    <row r="801" spans="1:40" ht="18" customHeight="1">
      <c r="A801" s="190">
        <v>7</v>
      </c>
      <c r="B801" s="190" t="s">
        <v>797</v>
      </c>
      <c r="C801" s="190">
        <v>72</v>
      </c>
      <c r="D801" s="191" t="s">
        <v>836</v>
      </c>
      <c r="E801" s="237">
        <v>721</v>
      </c>
      <c r="F801" s="193" t="s">
        <v>838</v>
      </c>
      <c r="G801" s="193" t="s">
        <v>862</v>
      </c>
      <c r="H801" s="212" t="str">
        <f>HYPERLINK("http://bsdd.buildingsmart.org/#concept/details/1H4YqNE$rFXBBmhQjVkmHX","1H4YqNE$rFXBBmhQjVkmHX")</f>
        <v>1H4YqNE$rFXBBmhQjVkmHX</v>
      </c>
      <c r="I801" s="123" t="s">
        <v>5212</v>
      </c>
      <c r="J801" s="195" t="s">
        <v>4786</v>
      </c>
      <c r="K801" s="191"/>
      <c r="L801" s="248" t="s">
        <v>4787</v>
      </c>
      <c r="M801" s="210"/>
      <c r="N801" s="203"/>
      <c r="O801" s="203"/>
      <c r="P801" s="191"/>
      <c r="Q801" s="199" t="s">
        <v>800</v>
      </c>
      <c r="R801" s="199"/>
      <c r="S801" s="199"/>
      <c r="T801" s="199"/>
      <c r="U801" s="200"/>
      <c r="V801" s="200"/>
      <c r="W801" s="200"/>
      <c r="X801" s="226"/>
      <c r="Y801" s="226"/>
      <c r="Z801" s="202" t="str">
        <f t="shared" si="0"/>
        <v>RLOM Walls</v>
      </c>
      <c r="AA801" s="172"/>
      <c r="AB801" s="153"/>
      <c r="AC801" s="153"/>
      <c r="AD801" s="153"/>
      <c r="AE801" s="153"/>
      <c r="AF801" s="153"/>
      <c r="AG801" s="153"/>
      <c r="AH801" s="153"/>
      <c r="AI801" s="153"/>
      <c r="AJ801" s="153"/>
      <c r="AK801" s="153"/>
      <c r="AL801" s="153"/>
      <c r="AM801" s="153"/>
      <c r="AN801" s="153"/>
    </row>
    <row r="802" spans="1:40" ht="18" customHeight="1">
      <c r="A802" s="190">
        <v>7</v>
      </c>
      <c r="B802" s="190" t="s">
        <v>797</v>
      </c>
      <c r="C802" s="190">
        <v>72</v>
      </c>
      <c r="D802" s="191" t="s">
        <v>836</v>
      </c>
      <c r="E802" s="237">
        <v>721</v>
      </c>
      <c r="F802" s="193" t="s">
        <v>838</v>
      </c>
      <c r="G802" s="193" t="s">
        <v>862</v>
      </c>
      <c r="H802" s="212" t="str">
        <f>HYPERLINK("http://bsdd.buildingsmart.org/#concept/details/2Uhu4z5dP4Du6pDWcDjCtx","2Uhu4z5dP4Du6pDWcDjCtx")</f>
        <v>2Uhu4z5dP4Du6pDWcDjCtx</v>
      </c>
      <c r="I802" s="123" t="s">
        <v>5213</v>
      </c>
      <c r="J802" s="195" t="s">
        <v>4788</v>
      </c>
      <c r="K802" s="191"/>
      <c r="L802" s="248" t="s">
        <v>4789</v>
      </c>
      <c r="M802" s="210"/>
      <c r="N802" s="203"/>
      <c r="O802" s="203"/>
      <c r="P802" s="191"/>
      <c r="Q802" s="199" t="s">
        <v>800</v>
      </c>
      <c r="R802" s="199"/>
      <c r="S802" s="199"/>
      <c r="T802" s="199"/>
      <c r="U802" s="200"/>
      <c r="V802" s="200"/>
      <c r="W802" s="200"/>
      <c r="X802" s="226"/>
      <c r="Y802" s="226"/>
      <c r="Z802" s="202" t="str">
        <f t="shared" si="0"/>
        <v>RLOM Walls</v>
      </c>
      <c r="AA802" s="172"/>
      <c r="AB802" s="153"/>
      <c r="AC802" s="153"/>
      <c r="AD802" s="153"/>
      <c r="AE802" s="153"/>
      <c r="AF802" s="153"/>
      <c r="AG802" s="153"/>
      <c r="AH802" s="153"/>
      <c r="AI802" s="153"/>
      <c r="AJ802" s="153"/>
      <c r="AK802" s="153"/>
      <c r="AL802" s="153"/>
      <c r="AM802" s="153"/>
      <c r="AN802" s="153"/>
    </row>
    <row r="803" spans="1:40" ht="18" customHeight="1">
      <c r="A803" s="190">
        <v>7</v>
      </c>
      <c r="B803" s="190" t="s">
        <v>797</v>
      </c>
      <c r="C803" s="190">
        <v>72</v>
      </c>
      <c r="D803" s="191" t="s">
        <v>836</v>
      </c>
      <c r="E803" s="237">
        <v>721</v>
      </c>
      <c r="F803" s="193" t="s">
        <v>838</v>
      </c>
      <c r="G803" s="193" t="s">
        <v>862</v>
      </c>
      <c r="H803" s="212" t="str">
        <f>HYPERLINK("http://bsdd.buildingsmart.org/#concept/details/3eVtY0WJOHu000025QrE$V","3eVtY0WJOHu000025QrE$V")</f>
        <v>3eVtY0WJOHu000025QrE$V</v>
      </c>
      <c r="I803" s="123" t="s">
        <v>5214</v>
      </c>
      <c r="J803" s="195" t="s">
        <v>4790</v>
      </c>
      <c r="K803" s="191"/>
      <c r="L803" s="248" t="s">
        <v>4791</v>
      </c>
      <c r="M803" s="210"/>
      <c r="N803" s="203"/>
      <c r="O803" s="203"/>
      <c r="P803" s="191"/>
      <c r="Q803" s="199" t="s">
        <v>800</v>
      </c>
      <c r="R803" s="199"/>
      <c r="S803" s="199"/>
      <c r="T803" s="199"/>
      <c r="U803" s="200"/>
      <c r="V803" s="200"/>
      <c r="W803" s="200"/>
      <c r="X803" s="226"/>
      <c r="Y803" s="226"/>
      <c r="Z803" s="202" t="str">
        <f t="shared" si="0"/>
        <v>RLOM Walls</v>
      </c>
      <c r="AA803" s="172"/>
      <c r="AB803" s="153"/>
      <c r="AC803" s="153"/>
      <c r="AD803" s="153"/>
      <c r="AE803" s="153"/>
      <c r="AF803" s="153"/>
      <c r="AG803" s="153"/>
      <c r="AH803" s="153"/>
      <c r="AI803" s="153"/>
      <c r="AJ803" s="153"/>
      <c r="AK803" s="153"/>
      <c r="AL803" s="153"/>
      <c r="AM803" s="153"/>
      <c r="AN803" s="153"/>
    </row>
    <row r="804" spans="1:40" ht="18" customHeight="1">
      <c r="A804" s="190">
        <v>7</v>
      </c>
      <c r="B804" s="190" t="s">
        <v>797</v>
      </c>
      <c r="C804" s="190">
        <v>72</v>
      </c>
      <c r="D804" s="191" t="s">
        <v>836</v>
      </c>
      <c r="E804" s="237">
        <v>721</v>
      </c>
      <c r="F804" s="193" t="s">
        <v>838</v>
      </c>
      <c r="G804" s="193" t="s">
        <v>862</v>
      </c>
      <c r="H804" s="212" t="str">
        <f>HYPERLINK("http://bsdd.buildingsmart.org/#concept/details/2n$$xO44jEj9eWm$OYjFPg","2n$$xO44jEj9eWm$OYjFPg")</f>
        <v>2n$$xO44jEj9eWm$OYjFPg</v>
      </c>
      <c r="I804" s="123" t="s">
        <v>5215</v>
      </c>
      <c r="J804" s="195" t="s">
        <v>4792</v>
      </c>
      <c r="K804" s="191"/>
      <c r="L804" s="248" t="s">
        <v>4793</v>
      </c>
      <c r="M804" s="210"/>
      <c r="N804" s="203"/>
      <c r="O804" s="203"/>
      <c r="P804" s="191"/>
      <c r="Q804" s="199" t="s">
        <v>800</v>
      </c>
      <c r="R804" s="199"/>
      <c r="S804" s="199"/>
      <c r="T804" s="199"/>
      <c r="U804" s="200"/>
      <c r="V804" s="200"/>
      <c r="W804" s="200"/>
      <c r="X804" s="226"/>
      <c r="Y804" s="226"/>
      <c r="Z804" s="202" t="str">
        <f t="shared" si="0"/>
        <v>RLOM Walls</v>
      </c>
      <c r="AA804" s="172"/>
      <c r="AB804" s="153"/>
      <c r="AC804" s="153"/>
      <c r="AD804" s="153"/>
      <c r="AE804" s="153"/>
      <c r="AF804" s="153"/>
      <c r="AG804" s="153"/>
      <c r="AH804" s="153"/>
      <c r="AI804" s="153"/>
      <c r="AJ804" s="153"/>
      <c r="AK804" s="153"/>
      <c r="AL804" s="153"/>
      <c r="AM804" s="153"/>
      <c r="AN804" s="153"/>
    </row>
    <row r="805" spans="1:40" ht="27" customHeight="1">
      <c r="A805" s="190">
        <v>7</v>
      </c>
      <c r="B805" s="190" t="s">
        <v>797</v>
      </c>
      <c r="C805" s="190">
        <v>72</v>
      </c>
      <c r="D805" s="191" t="s">
        <v>836</v>
      </c>
      <c r="E805" s="192">
        <v>722</v>
      </c>
      <c r="F805" s="192" t="s">
        <v>1028</v>
      </c>
      <c r="G805" s="193" t="s">
        <v>1029</v>
      </c>
      <c r="H805" s="212" t="str">
        <f>HYPERLINK("http://bsdd.buildingsmart.org/#concept/details/1d5hstF15AKRYCWuh8xFFX","1d5hstF15AKRYCWuh8xFFX")</f>
        <v>1d5hstF15AKRYCWuh8xFFX</v>
      </c>
      <c r="I805" s="123" t="s">
        <v>1030</v>
      </c>
      <c r="J805" s="195" t="s">
        <v>4794</v>
      </c>
      <c r="K805" s="206" t="s">
        <v>1030</v>
      </c>
      <c r="L805" s="248" t="s">
        <v>4795</v>
      </c>
      <c r="M805" s="210"/>
      <c r="N805" s="192" t="s">
        <v>2944</v>
      </c>
      <c r="O805" s="192" t="s">
        <v>2945</v>
      </c>
      <c r="P805" s="206" t="s">
        <v>2946</v>
      </c>
      <c r="Q805" s="192" t="s">
        <v>2947</v>
      </c>
      <c r="R805" s="192"/>
      <c r="S805" s="207"/>
      <c r="T805" s="199" t="s">
        <v>4796</v>
      </c>
      <c r="U805" s="200"/>
      <c r="V805" s="200"/>
      <c r="W805" s="201"/>
      <c r="X805" s="201"/>
      <c r="Y805" s="201"/>
      <c r="Z805" s="202" t="str">
        <f t="shared" si="0"/>
        <v>RLOM Ramps</v>
      </c>
      <c r="AA805" s="172"/>
      <c r="AB805" s="153"/>
      <c r="AC805" s="153"/>
      <c r="AD805" s="153"/>
      <c r="AE805" s="153"/>
      <c r="AF805" s="153"/>
      <c r="AG805" s="153"/>
      <c r="AH805" s="153"/>
      <c r="AI805" s="153"/>
      <c r="AJ805" s="153"/>
      <c r="AK805" s="153"/>
      <c r="AL805" s="153"/>
      <c r="AM805" s="153"/>
      <c r="AN805" s="153"/>
    </row>
    <row r="806" spans="1:40" ht="18" customHeight="1">
      <c r="A806" s="190">
        <v>7</v>
      </c>
      <c r="B806" s="190" t="s">
        <v>797</v>
      </c>
      <c r="C806" s="190">
        <v>72</v>
      </c>
      <c r="D806" s="191" t="s">
        <v>836</v>
      </c>
      <c r="E806" s="237">
        <v>722</v>
      </c>
      <c r="F806" s="193" t="s">
        <v>1028</v>
      </c>
      <c r="G806" s="193" t="s">
        <v>1029</v>
      </c>
      <c r="H806" s="212" t="str">
        <f>HYPERLINK("http://bsdd.buildingsmart.org/#concept/details/0zth$AtNv3du_ul4IhJ0WO","0zth$AtNv3du_ul4IhJ0WO")</f>
        <v>0zth$AtNv3du_ul4IhJ0WO</v>
      </c>
      <c r="I806" s="123" t="s">
        <v>1055</v>
      </c>
      <c r="J806" s="195" t="s">
        <v>4797</v>
      </c>
      <c r="K806" s="206" t="s">
        <v>1064</v>
      </c>
      <c r="L806" s="248" t="s">
        <v>4798</v>
      </c>
      <c r="M806" s="210"/>
      <c r="N806" s="192"/>
      <c r="O806" s="192"/>
      <c r="P806" s="206"/>
      <c r="Q806" s="192" t="s">
        <v>2933</v>
      </c>
      <c r="R806" s="207"/>
      <c r="S806" s="207"/>
      <c r="T806" s="199" t="s">
        <v>2939</v>
      </c>
      <c r="U806" s="200"/>
      <c r="V806" s="200"/>
      <c r="W806" s="200"/>
      <c r="X806" s="201"/>
      <c r="Y806" s="201"/>
      <c r="Z806" s="202" t="str">
        <f t="shared" si="0"/>
        <v>RLOM Stairs</v>
      </c>
      <c r="AA806" s="172"/>
      <c r="AB806" s="153"/>
      <c r="AC806" s="153"/>
      <c r="AD806" s="153"/>
      <c r="AE806" s="153"/>
      <c r="AF806" s="153"/>
      <c r="AG806" s="153"/>
      <c r="AH806" s="153"/>
      <c r="AI806" s="153"/>
      <c r="AJ806" s="153"/>
      <c r="AK806" s="153"/>
      <c r="AL806" s="153"/>
      <c r="AM806" s="153"/>
      <c r="AN806" s="153"/>
    </row>
    <row r="807" spans="1:40" ht="21.75" customHeight="1">
      <c r="A807" s="190">
        <v>7</v>
      </c>
      <c r="B807" s="190" t="s">
        <v>797</v>
      </c>
      <c r="C807" s="190">
        <v>72</v>
      </c>
      <c r="D807" s="191" t="s">
        <v>836</v>
      </c>
      <c r="E807" s="192">
        <v>722</v>
      </c>
      <c r="F807" s="192" t="s">
        <v>1028</v>
      </c>
      <c r="G807" s="193" t="s">
        <v>1029</v>
      </c>
      <c r="H807" s="212" t="str">
        <f>HYPERLINK("http://bsdd.buildingsmart.org/#concept/details/0T8PEbH$z3mezdmpMUvMXl","0T8PEbH$z3mezdmpMUvMXl")</f>
        <v>0T8PEbH$z3mezdmpMUvMXl</v>
      </c>
      <c r="I807" s="123" t="s">
        <v>1074</v>
      </c>
      <c r="J807" s="195" t="s">
        <v>4799</v>
      </c>
      <c r="K807" s="206" t="s">
        <v>1064</v>
      </c>
      <c r="L807" s="248" t="s">
        <v>4800</v>
      </c>
      <c r="M807" s="210"/>
      <c r="N807" s="192"/>
      <c r="O807" s="192"/>
      <c r="P807" s="206"/>
      <c r="Q807" s="192" t="s">
        <v>2933</v>
      </c>
      <c r="R807" s="207"/>
      <c r="S807" s="207"/>
      <c r="T807" s="199" t="s">
        <v>2939</v>
      </c>
      <c r="U807" s="200"/>
      <c r="V807" s="200"/>
      <c r="W807" s="201"/>
      <c r="X807" s="201"/>
      <c r="Y807" s="201"/>
      <c r="Z807" s="202" t="str">
        <f t="shared" si="0"/>
        <v>RLOM Stairs</v>
      </c>
      <c r="AA807" s="172"/>
      <c r="AB807" s="153"/>
      <c r="AC807" s="153"/>
      <c r="AD807" s="153"/>
      <c r="AE807" s="153"/>
      <c r="AF807" s="153"/>
      <c r="AG807" s="153"/>
      <c r="AH807" s="153"/>
      <c r="AI807" s="153"/>
      <c r="AJ807" s="153"/>
      <c r="AK807" s="153"/>
      <c r="AL807" s="153"/>
      <c r="AM807" s="153"/>
      <c r="AN807" s="153"/>
    </row>
    <row r="808" spans="1:40" ht="18" customHeight="1">
      <c r="A808" s="190">
        <v>7</v>
      </c>
      <c r="B808" s="190" t="s">
        <v>797</v>
      </c>
      <c r="C808" s="190">
        <v>72</v>
      </c>
      <c r="D808" s="191" t="s">
        <v>836</v>
      </c>
      <c r="E808" s="237">
        <v>722</v>
      </c>
      <c r="F808" s="193" t="s">
        <v>1028</v>
      </c>
      <c r="G808" s="193" t="s">
        <v>1029</v>
      </c>
      <c r="H808" s="212" t="str">
        <f>HYPERLINK("http://bsdd.buildingsmart.org/#concept/details/2bXjeJ3Yb7CALKsXwXV5Jn","2bXjeJ3Yb7CALKsXwXV5Jn")</f>
        <v>2bXjeJ3Yb7CALKsXwXV5Jn</v>
      </c>
      <c r="I808" s="123" t="s">
        <v>1081</v>
      </c>
      <c r="J808" s="195" t="s">
        <v>4801</v>
      </c>
      <c r="K808" s="191"/>
      <c r="L808" s="248" t="s">
        <v>4802</v>
      </c>
      <c r="M808" s="192"/>
      <c r="N808" s="192"/>
      <c r="O808" s="199"/>
      <c r="P808" s="191"/>
      <c r="Q808" s="192" t="s">
        <v>2933</v>
      </c>
      <c r="R808" s="198"/>
      <c r="S808" s="198"/>
      <c r="T808" s="199" t="s">
        <v>2939</v>
      </c>
      <c r="U808" s="200"/>
      <c r="V808" s="200"/>
      <c r="W808" s="200"/>
      <c r="X808" s="201"/>
      <c r="Y808" s="201"/>
      <c r="Z808" s="202" t="str">
        <f t="shared" si="0"/>
        <v>RLOM Stairs</v>
      </c>
      <c r="AA808" s="172"/>
      <c r="AB808" s="153"/>
      <c r="AC808" s="153"/>
      <c r="AD808" s="153"/>
      <c r="AE808" s="153"/>
      <c r="AF808" s="153"/>
      <c r="AG808" s="153"/>
      <c r="AH808" s="153"/>
      <c r="AI808" s="153"/>
      <c r="AJ808" s="153"/>
      <c r="AK808" s="153"/>
      <c r="AL808" s="153"/>
      <c r="AM808" s="153"/>
      <c r="AN808" s="153"/>
    </row>
    <row r="809" spans="1:40" ht="18" customHeight="1">
      <c r="A809" s="190">
        <v>7</v>
      </c>
      <c r="B809" s="190" t="s">
        <v>797</v>
      </c>
      <c r="C809" s="190">
        <v>72</v>
      </c>
      <c r="D809" s="191" t="s">
        <v>836</v>
      </c>
      <c r="E809" s="237">
        <v>722</v>
      </c>
      <c r="F809" s="193" t="s">
        <v>1028</v>
      </c>
      <c r="G809" s="193" t="s">
        <v>1029</v>
      </c>
      <c r="H809" s="212" t="str">
        <f>HYPERLINK("http://bsdd.buildingsmart.org/#concept/details/3jBfvjbKj8cPqpAekLElGB","3jBfvjbKj8cPqpAekLElGB")</f>
        <v>3jBfvjbKj8cPqpAekLElGB</v>
      </c>
      <c r="I809" s="123" t="s">
        <v>1101</v>
      </c>
      <c r="J809" s="195" t="s">
        <v>3246</v>
      </c>
      <c r="K809" s="191"/>
      <c r="L809" s="250" t="s">
        <v>4803</v>
      </c>
      <c r="M809" s="192"/>
      <c r="N809" s="192"/>
      <c r="O809" s="199"/>
      <c r="P809" s="191"/>
      <c r="Q809" s="199" t="s">
        <v>928</v>
      </c>
      <c r="R809" s="198"/>
      <c r="S809" s="198"/>
      <c r="T809" s="203"/>
      <c r="U809" s="200"/>
      <c r="V809" s="200"/>
      <c r="W809" s="200"/>
      <c r="X809" s="201"/>
      <c r="Y809" s="201"/>
      <c r="Z809" s="202" t="str">
        <f t="shared" si="0"/>
        <v>RLOM Slabs</v>
      </c>
      <c r="AA809" s="172"/>
      <c r="AB809" s="153"/>
      <c r="AC809" s="153"/>
      <c r="AD809" s="153"/>
      <c r="AE809" s="153"/>
      <c r="AF809" s="153"/>
      <c r="AG809" s="153"/>
      <c r="AH809" s="153"/>
      <c r="AI809" s="153"/>
      <c r="AJ809" s="153"/>
      <c r="AK809" s="153"/>
      <c r="AL809" s="153"/>
      <c r="AM809" s="153"/>
      <c r="AN809" s="153"/>
    </row>
    <row r="810" spans="1:40" ht="63" customHeight="1">
      <c r="A810" s="190">
        <v>7</v>
      </c>
      <c r="B810" s="190" t="s">
        <v>797</v>
      </c>
      <c r="C810" s="190">
        <v>72</v>
      </c>
      <c r="D810" s="191" t="s">
        <v>836</v>
      </c>
      <c r="E810" s="192">
        <v>725</v>
      </c>
      <c r="F810" s="192" t="s">
        <v>1106</v>
      </c>
      <c r="G810" s="193" t="s">
        <v>1107</v>
      </c>
      <c r="H810" s="212" t="str">
        <f>HYPERLINK("http://bsdd.buildingsmart.org/#concept/details/2VUVKAWJCHu000025QrE$V","2VUVKAWJCHu000025QrE$V")</f>
        <v>2VUVKAWJCHu000025QrE$V</v>
      </c>
      <c r="I810" s="123" t="s">
        <v>1108</v>
      </c>
      <c r="J810" s="195" t="s">
        <v>4804</v>
      </c>
      <c r="K810" s="193"/>
      <c r="L810" s="248" t="s">
        <v>4805</v>
      </c>
      <c r="M810" s="210"/>
      <c r="N810" s="192" t="s">
        <v>1924</v>
      </c>
      <c r="O810" s="192" t="s">
        <v>1926</v>
      </c>
      <c r="P810" s="193" t="s">
        <v>1927</v>
      </c>
      <c r="Q810" s="192" t="s">
        <v>2966</v>
      </c>
      <c r="R810" s="243"/>
      <c r="S810" s="243"/>
      <c r="T810" s="192"/>
      <c r="U810" s="200"/>
      <c r="V810" s="200"/>
      <c r="W810" s="201"/>
      <c r="X810" s="201"/>
      <c r="Y810" s="201"/>
      <c r="Z810" s="202" t="str">
        <f t="shared" si="0"/>
        <v>RLOM Railings</v>
      </c>
      <c r="AA810" s="172"/>
      <c r="AB810" s="153"/>
      <c r="AC810" s="153"/>
      <c r="AD810" s="153"/>
      <c r="AE810" s="153"/>
      <c r="AF810" s="153"/>
      <c r="AG810" s="153"/>
      <c r="AH810" s="153"/>
      <c r="AI810" s="153"/>
      <c r="AJ810" s="153"/>
      <c r="AK810" s="153"/>
      <c r="AL810" s="153"/>
      <c r="AM810" s="153"/>
      <c r="AN810" s="153"/>
    </row>
    <row r="811" spans="1:40" ht="18" customHeight="1">
      <c r="A811" s="190">
        <v>7</v>
      </c>
      <c r="B811" s="190" t="s">
        <v>797</v>
      </c>
      <c r="C811" s="190">
        <v>72</v>
      </c>
      <c r="D811" s="191" t="s">
        <v>836</v>
      </c>
      <c r="E811" s="237">
        <v>729</v>
      </c>
      <c r="F811" s="193" t="s">
        <v>1113</v>
      </c>
      <c r="G811" s="193" t="s">
        <v>801</v>
      </c>
      <c r="H811" s="212" t="str">
        <f>HYPERLINK("http://bsdd.buildingsmart.org/#concept/details/3vHcokoT0Hsm00051Mm008","3vHcokoT0Hsm00051Mm008")</f>
        <v>3vHcokoT0Hsm00051Mm008</v>
      </c>
      <c r="I811" s="123" t="s">
        <v>5216</v>
      </c>
      <c r="J811" s="195" t="s">
        <v>4806</v>
      </c>
      <c r="K811" s="191"/>
      <c r="L811" s="248" t="s">
        <v>4807</v>
      </c>
      <c r="M811" s="199"/>
      <c r="N811" s="203"/>
      <c r="O811" s="199"/>
      <c r="P811" s="191"/>
      <c r="Q811" s="192" t="s">
        <v>928</v>
      </c>
      <c r="R811" s="198"/>
      <c r="S811" s="198"/>
      <c r="T811" s="203"/>
      <c r="U811" s="200"/>
      <c r="V811" s="200"/>
      <c r="W811" s="201"/>
      <c r="X811" s="201"/>
      <c r="Y811" s="201"/>
      <c r="Z811" s="202" t="str">
        <f t="shared" si="0"/>
        <v>RLOM Slabs</v>
      </c>
      <c r="AA811" s="172"/>
      <c r="AB811" s="153"/>
      <c r="AC811" s="153"/>
      <c r="AD811" s="153"/>
      <c r="AE811" s="153"/>
      <c r="AF811" s="153"/>
      <c r="AG811" s="153"/>
      <c r="AH811" s="153"/>
      <c r="AI811" s="153"/>
      <c r="AJ811" s="153"/>
      <c r="AK811" s="153"/>
      <c r="AL811" s="153"/>
      <c r="AM811" s="153"/>
      <c r="AN811" s="153"/>
    </row>
    <row r="812" spans="1:40" ht="18" customHeight="1">
      <c r="A812" s="190">
        <v>7</v>
      </c>
      <c r="B812" s="190" t="s">
        <v>797</v>
      </c>
      <c r="C812" s="190">
        <v>72</v>
      </c>
      <c r="D812" s="191" t="s">
        <v>836</v>
      </c>
      <c r="E812" s="237">
        <v>729</v>
      </c>
      <c r="F812" s="193" t="s">
        <v>1113</v>
      </c>
      <c r="G812" s="193" t="s">
        <v>801</v>
      </c>
      <c r="H812" s="212" t="str">
        <f>HYPERLINK("http://bsdd.buildingsmart.org/#concept/details/3dIHUqN757YR97HLj8ypx8","3dIHUqN757YR97HLj8ypx8")</f>
        <v>3dIHUqN757YR97HLj8ypx8</v>
      </c>
      <c r="I812" s="123" t="s">
        <v>5217</v>
      </c>
      <c r="J812" s="195" t="s">
        <v>4808</v>
      </c>
      <c r="K812" s="191"/>
      <c r="L812" s="248" t="s">
        <v>4809</v>
      </c>
      <c r="M812" s="198"/>
      <c r="N812" s="203"/>
      <c r="O812" s="199"/>
      <c r="P812" s="191"/>
      <c r="Q812" s="199" t="s">
        <v>847</v>
      </c>
      <c r="R812" s="198"/>
      <c r="S812" s="198"/>
      <c r="T812" s="203"/>
      <c r="U812" s="200"/>
      <c r="V812" s="200"/>
      <c r="W812" s="201"/>
      <c r="X812" s="201"/>
      <c r="Y812" s="201"/>
      <c r="Z812" s="202" t="str">
        <f t="shared" si="0"/>
        <v>RLOM BuildingElementProxys</v>
      </c>
      <c r="AA812" s="172"/>
      <c r="AB812" s="153"/>
      <c r="AC812" s="153"/>
      <c r="AD812" s="153"/>
      <c r="AE812" s="153"/>
      <c r="AF812" s="153"/>
      <c r="AG812" s="153"/>
      <c r="AH812" s="153"/>
      <c r="AI812" s="153"/>
      <c r="AJ812" s="153"/>
      <c r="AK812" s="153"/>
      <c r="AL812" s="153"/>
      <c r="AM812" s="153"/>
      <c r="AN812" s="153"/>
    </row>
    <row r="813" spans="1:40" ht="21.75" customHeight="1">
      <c r="A813" s="190">
        <v>7</v>
      </c>
      <c r="B813" s="190" t="s">
        <v>797</v>
      </c>
      <c r="C813" s="190">
        <v>72</v>
      </c>
      <c r="D813" s="191" t="s">
        <v>836</v>
      </c>
      <c r="E813" s="192">
        <v>729</v>
      </c>
      <c r="F813" s="192" t="s">
        <v>1113</v>
      </c>
      <c r="G813" s="193" t="s">
        <v>801</v>
      </c>
      <c r="H813" s="212" t="str">
        <f>HYPERLINK("http://bsdd.buildingsmart.org/#concept/details/0VmnRrh_r2q9JS_BFRK1Ff","0VmnRrh_r2q9JS_BFRK1Ff")</f>
        <v>0VmnRrh_r2q9JS_BFRK1Ff</v>
      </c>
      <c r="I813" s="123" t="s">
        <v>1149</v>
      </c>
      <c r="J813" s="195" t="s">
        <v>4810</v>
      </c>
      <c r="K813" s="191"/>
      <c r="L813" s="248" t="s">
        <v>4811</v>
      </c>
      <c r="M813" s="198"/>
      <c r="N813" s="203"/>
      <c r="O813" s="199"/>
      <c r="P813" s="191"/>
      <c r="Q813" s="192" t="s">
        <v>853</v>
      </c>
      <c r="R813" s="198"/>
      <c r="S813" s="198"/>
      <c r="T813" s="203"/>
      <c r="U813" s="200"/>
      <c r="V813" s="200"/>
      <c r="W813" s="201"/>
      <c r="X813" s="201"/>
      <c r="Y813" s="201"/>
      <c r="Z813" s="202" t="str">
        <f t="shared" si="0"/>
        <v>RLOM Footings</v>
      </c>
      <c r="AA813" s="172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</row>
    <row r="814" spans="1:40" ht="36" customHeight="1">
      <c r="A814" s="190">
        <v>7</v>
      </c>
      <c r="B814" s="190" t="s">
        <v>797</v>
      </c>
      <c r="C814" s="190">
        <v>73</v>
      </c>
      <c r="D814" s="191" t="s">
        <v>1154</v>
      </c>
      <c r="E814" s="237">
        <v>731</v>
      </c>
      <c r="F814" s="193" t="s">
        <v>1156</v>
      </c>
      <c r="G814" s="193" t="s">
        <v>1158</v>
      </c>
      <c r="H814" s="212" t="str">
        <f>HYPERLINK("http://bsdd.buildingsmart.org/#concept/details/3vHM9GoT0Hsm00051Mm008","3vHM9GoT0Hsm00051Mm008")</f>
        <v>3vHM9GoT0Hsm00051Mm008</v>
      </c>
      <c r="I814" s="123" t="s">
        <v>1161</v>
      </c>
      <c r="J814" s="195" t="s">
        <v>4812</v>
      </c>
      <c r="K814" s="191"/>
      <c r="L814" s="248" t="s">
        <v>3994</v>
      </c>
      <c r="M814" s="198"/>
      <c r="N814" s="203"/>
      <c r="O814" s="203"/>
      <c r="P814" s="191"/>
      <c r="Q814" s="192" t="s">
        <v>809</v>
      </c>
      <c r="R814" s="198"/>
      <c r="S814" s="198"/>
      <c r="T814" s="203"/>
      <c r="U814" s="200"/>
      <c r="V814" s="200"/>
      <c r="W814" s="226"/>
      <c r="X814" s="226"/>
      <c r="Y814" s="226"/>
      <c r="Z814" s="202" t="str">
        <f t="shared" si="0"/>
        <v>RLOM PipeSegments</v>
      </c>
      <c r="AA814" s="172"/>
      <c r="AB814" s="153"/>
      <c r="AC814" s="153"/>
      <c r="AD814" s="153"/>
      <c r="AE814" s="153"/>
      <c r="AF814" s="153"/>
      <c r="AG814" s="153"/>
      <c r="AH814" s="153"/>
      <c r="AI814" s="153"/>
      <c r="AJ814" s="153"/>
      <c r="AK814" s="153"/>
      <c r="AL814" s="153"/>
      <c r="AM814" s="153"/>
      <c r="AN814" s="153"/>
    </row>
    <row r="815" spans="1:40" ht="36" customHeight="1">
      <c r="A815" s="190">
        <v>7</v>
      </c>
      <c r="B815" s="190" t="s">
        <v>797</v>
      </c>
      <c r="C815" s="190">
        <v>73</v>
      </c>
      <c r="D815" s="191" t="s">
        <v>1154</v>
      </c>
      <c r="E815" s="237">
        <v>731</v>
      </c>
      <c r="F815" s="193" t="s">
        <v>1156</v>
      </c>
      <c r="G815" s="193" t="s">
        <v>1158</v>
      </c>
      <c r="H815" s="212" t="str">
        <f>HYPERLINK("http://bsdd.buildingsmart.org/#concept/details/3$1t6yujf0reRLnp99Qzv3","3$1t6yujf0reRLnp99Qzv3")</f>
        <v>3$1t6yujf0reRLnp99Qzv3</v>
      </c>
      <c r="I815" s="123" t="s">
        <v>1167</v>
      </c>
      <c r="J815" s="195" t="s">
        <v>4813</v>
      </c>
      <c r="K815" s="206" t="s">
        <v>1168</v>
      </c>
      <c r="L815" s="248" t="str">
        <f t="shared" ref="L815:L818" ca="1" si="36">IFERROR(__xludf.DUMMYFUNCTION(GOOGLETRANSLATE(J815,"no","en")),"well")</f>
        <v>well</v>
      </c>
      <c r="M815" s="198"/>
      <c r="N815" s="203"/>
      <c r="O815" s="203"/>
      <c r="P815" s="191"/>
      <c r="Q815" s="203" t="s">
        <v>789</v>
      </c>
      <c r="R815" s="198"/>
      <c r="S815" s="198"/>
      <c r="T815" s="203"/>
      <c r="U815" s="200"/>
      <c r="V815" s="200"/>
      <c r="W815" s="226"/>
      <c r="X815" s="226"/>
      <c r="Y815" s="226"/>
      <c r="Z815" s="202" t="str">
        <f t="shared" si="0"/>
        <v>RLOM DistributionChamberElements</v>
      </c>
      <c r="AA815" s="172"/>
      <c r="AB815" s="153"/>
      <c r="AC815" s="153"/>
      <c r="AD815" s="153"/>
      <c r="AE815" s="153"/>
      <c r="AF815" s="153"/>
      <c r="AG815" s="153"/>
      <c r="AH815" s="153"/>
      <c r="AI815" s="153"/>
      <c r="AJ815" s="153"/>
      <c r="AK815" s="153"/>
      <c r="AL815" s="153"/>
      <c r="AM815" s="153"/>
      <c r="AN815" s="153"/>
    </row>
    <row r="816" spans="1:40" ht="36" customHeight="1">
      <c r="A816" s="190">
        <v>7</v>
      </c>
      <c r="B816" s="190" t="s">
        <v>797</v>
      </c>
      <c r="C816" s="190">
        <v>73</v>
      </c>
      <c r="D816" s="191" t="s">
        <v>1154</v>
      </c>
      <c r="E816" s="237">
        <v>731</v>
      </c>
      <c r="F816" s="193" t="s">
        <v>1156</v>
      </c>
      <c r="G816" s="193" t="s">
        <v>1158</v>
      </c>
      <c r="H816" s="212" t="str">
        <f>HYPERLINK("http://bsdd.buildingsmart.org/#concept/details/0l1dBWhBHApuzEQT8OWNKX","0l1dBWhBHApuzEQT8OWNKX")</f>
        <v>0l1dBWhBHApuzEQT8OWNKX</v>
      </c>
      <c r="I816" s="123" t="s">
        <v>1169</v>
      </c>
      <c r="J816" s="195" t="s">
        <v>4814</v>
      </c>
      <c r="K816" s="206"/>
      <c r="L816" s="248" t="str">
        <f t="shared" ca="1" si="36"/>
        <v>well</v>
      </c>
      <c r="M816" s="198"/>
      <c r="N816" s="203" t="s">
        <v>2168</v>
      </c>
      <c r="O816" s="203" t="s">
        <v>1169</v>
      </c>
      <c r="P816" s="191" t="s">
        <v>4815</v>
      </c>
      <c r="Q816" s="203" t="s">
        <v>789</v>
      </c>
      <c r="R816" s="198"/>
      <c r="S816" s="198"/>
      <c r="T816" s="203"/>
      <c r="U816" s="200"/>
      <c r="V816" s="200"/>
      <c r="W816" s="226"/>
      <c r="X816" s="226"/>
      <c r="Y816" s="226"/>
      <c r="Z816" s="202" t="str">
        <f t="shared" si="0"/>
        <v>RLOM DistributionChamberElements</v>
      </c>
      <c r="AA816" s="172"/>
      <c r="AB816" s="153"/>
      <c r="AC816" s="153"/>
      <c r="AD816" s="153"/>
      <c r="AE816" s="153"/>
      <c r="AF816" s="153"/>
      <c r="AG816" s="153"/>
      <c r="AH816" s="153"/>
      <c r="AI816" s="153"/>
      <c r="AJ816" s="153"/>
      <c r="AK816" s="153"/>
      <c r="AL816" s="153"/>
      <c r="AM816" s="153"/>
      <c r="AN816" s="153"/>
    </row>
    <row r="817" spans="1:40" ht="36" customHeight="1">
      <c r="A817" s="190">
        <v>7</v>
      </c>
      <c r="B817" s="190" t="s">
        <v>797</v>
      </c>
      <c r="C817" s="190">
        <v>73</v>
      </c>
      <c r="D817" s="191" t="s">
        <v>1154</v>
      </c>
      <c r="E817" s="237">
        <v>731</v>
      </c>
      <c r="F817" s="193" t="s">
        <v>1156</v>
      </c>
      <c r="G817" s="193" t="s">
        <v>1158</v>
      </c>
      <c r="H817" s="212" t="str">
        <f>HYPERLINK("http://bsdd.buildingsmart.org/#concept/details/3vHJ3coT0Hsm00051Mm008","3vHJ3coT0Hsm00051Mm008")</f>
        <v>3vHJ3coT0Hsm00051Mm008</v>
      </c>
      <c r="I817" s="123" t="s">
        <v>1174</v>
      </c>
      <c r="J817" s="195" t="s">
        <v>4816</v>
      </c>
      <c r="K817" s="191"/>
      <c r="L817" s="248" t="str">
        <f t="shared" ca="1" si="36"/>
        <v>well</v>
      </c>
      <c r="M817" s="198"/>
      <c r="N817" s="203" t="s">
        <v>565</v>
      </c>
      <c r="O817" s="203" t="s">
        <v>4817</v>
      </c>
      <c r="P817" s="191" t="s">
        <v>4818</v>
      </c>
      <c r="Q817" s="203" t="s">
        <v>789</v>
      </c>
      <c r="R817" s="198"/>
      <c r="S817" s="198"/>
      <c r="T817" s="203"/>
      <c r="U817" s="200"/>
      <c r="V817" s="200"/>
      <c r="W817" s="226"/>
      <c r="X817" s="226"/>
      <c r="Y817" s="226"/>
      <c r="Z817" s="202" t="str">
        <f t="shared" si="0"/>
        <v>RLOM DistributionChamberElements</v>
      </c>
      <c r="AA817" s="172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</row>
    <row r="818" spans="1:40" ht="36" customHeight="1">
      <c r="A818" s="190">
        <v>7</v>
      </c>
      <c r="B818" s="190" t="s">
        <v>797</v>
      </c>
      <c r="C818" s="190">
        <v>73</v>
      </c>
      <c r="D818" s="191" t="s">
        <v>1154</v>
      </c>
      <c r="E818" s="237">
        <v>731</v>
      </c>
      <c r="F818" s="193" t="s">
        <v>1156</v>
      </c>
      <c r="G818" s="193" t="s">
        <v>1158</v>
      </c>
      <c r="H818" s="212" t="str">
        <f>HYPERLINK("http://bsdd.buildingsmart.org/#concept/details/3bqvNghlXAxxnJ8_Xr5HoX","3bqvNghlXAxxnJ8_Xr5HoX")</f>
        <v>3bqvNghlXAxxnJ8_Xr5HoX</v>
      </c>
      <c r="I818" s="123" t="s">
        <v>1177</v>
      </c>
      <c r="J818" s="195" t="s">
        <v>4819</v>
      </c>
      <c r="K818" s="191"/>
      <c r="L818" s="248" t="str">
        <f t="shared" ca="1" si="36"/>
        <v>well</v>
      </c>
      <c r="M818" s="198"/>
      <c r="N818" s="203"/>
      <c r="O818" s="203"/>
      <c r="P818" s="191"/>
      <c r="Q818" s="203" t="s">
        <v>789</v>
      </c>
      <c r="R818" s="198"/>
      <c r="S818" s="198"/>
      <c r="T818" s="203"/>
      <c r="U818" s="200"/>
      <c r="V818" s="200"/>
      <c r="W818" s="226"/>
      <c r="X818" s="226"/>
      <c r="Y818" s="226"/>
      <c r="Z818" s="202" t="str">
        <f t="shared" si="0"/>
        <v>RLOM DistributionChamberElements</v>
      </c>
      <c r="AA818" s="172"/>
      <c r="AB818" s="153"/>
      <c r="AC818" s="153"/>
      <c r="AD818" s="153"/>
      <c r="AE818" s="153"/>
      <c r="AF818" s="153"/>
      <c r="AG818" s="153"/>
      <c r="AH818" s="153"/>
      <c r="AI818" s="153"/>
      <c r="AJ818" s="153"/>
      <c r="AK818" s="153"/>
      <c r="AL818" s="153"/>
      <c r="AM818" s="153"/>
      <c r="AN818" s="153"/>
    </row>
    <row r="819" spans="1:40" ht="36" customHeight="1">
      <c r="A819" s="190">
        <v>7</v>
      </c>
      <c r="B819" s="190" t="s">
        <v>797</v>
      </c>
      <c r="C819" s="190">
        <v>73</v>
      </c>
      <c r="D819" s="191" t="s">
        <v>1154</v>
      </c>
      <c r="E819" s="237">
        <v>731</v>
      </c>
      <c r="F819" s="193" t="s">
        <v>1156</v>
      </c>
      <c r="G819" s="193" t="s">
        <v>1158</v>
      </c>
      <c r="H819" s="212" t="str">
        <f>HYPERLINK("http://bsdd.buildingsmart.org/#concept/details/1xMOPs6Zj8yRpzr2Z9bfTz","1xMOPs6Zj8yRpzr2Z9bfTz")</f>
        <v>1xMOPs6Zj8yRpzr2Z9bfTz</v>
      </c>
      <c r="I819" s="123" t="s">
        <v>5218</v>
      </c>
      <c r="J819" s="195" t="s">
        <v>4820</v>
      </c>
      <c r="K819" s="191"/>
      <c r="L819" s="248" t="s">
        <v>4821</v>
      </c>
      <c r="M819" s="198"/>
      <c r="N819" s="203"/>
      <c r="O819" s="203"/>
      <c r="P819" s="191"/>
      <c r="Q819" s="203" t="s">
        <v>789</v>
      </c>
      <c r="R819" s="198"/>
      <c r="S819" s="198"/>
      <c r="T819" s="203"/>
      <c r="U819" s="200"/>
      <c r="V819" s="200"/>
      <c r="W819" s="226"/>
      <c r="X819" s="226"/>
      <c r="Y819" s="226"/>
      <c r="Z819" s="202" t="str">
        <f t="shared" si="0"/>
        <v>RLOM DistributionChamberElements</v>
      </c>
      <c r="AA819" s="172"/>
      <c r="AB819" s="153"/>
      <c r="AC819" s="153"/>
      <c r="AD819" s="153"/>
      <c r="AE819" s="153"/>
      <c r="AF819" s="153"/>
      <c r="AG819" s="153"/>
      <c r="AH819" s="153"/>
      <c r="AI819" s="153"/>
      <c r="AJ819" s="153"/>
      <c r="AK819" s="153"/>
      <c r="AL819" s="153"/>
      <c r="AM819" s="153"/>
      <c r="AN819" s="153"/>
    </row>
    <row r="820" spans="1:40" ht="36" customHeight="1">
      <c r="A820" s="190">
        <v>7</v>
      </c>
      <c r="B820" s="190" t="s">
        <v>797</v>
      </c>
      <c r="C820" s="190">
        <v>73</v>
      </c>
      <c r="D820" s="191" t="s">
        <v>1154</v>
      </c>
      <c r="E820" s="237">
        <v>731</v>
      </c>
      <c r="F820" s="193" t="s">
        <v>1156</v>
      </c>
      <c r="G820" s="193" t="s">
        <v>1158</v>
      </c>
      <c r="H820" s="212" t="str">
        <f>HYPERLINK("http://bsdd.buildingsmart.org/#concept/details/3vHQHyoT0Hsm00051Mm008","3vHQHyoT0Hsm00051Mm008")</f>
        <v>3vHQHyoT0Hsm00051Mm008</v>
      </c>
      <c r="I820" s="123" t="s">
        <v>5219</v>
      </c>
      <c r="J820" s="195" t="s">
        <v>4822</v>
      </c>
      <c r="K820" s="206"/>
      <c r="L820" s="248" t="s">
        <v>4823</v>
      </c>
      <c r="M820" s="198"/>
      <c r="N820" s="203" t="s">
        <v>722</v>
      </c>
      <c r="O820" s="203"/>
      <c r="P820" s="191"/>
      <c r="Q820" s="192" t="s">
        <v>809</v>
      </c>
      <c r="R820" s="198"/>
      <c r="S820" s="198"/>
      <c r="T820" s="203"/>
      <c r="U820" s="200"/>
      <c r="V820" s="200"/>
      <c r="W820" s="226"/>
      <c r="X820" s="226"/>
      <c r="Y820" s="226"/>
      <c r="Z820" s="202" t="str">
        <f t="shared" si="0"/>
        <v>RLOM PipeSegments</v>
      </c>
      <c r="AA820" s="172"/>
      <c r="AB820" s="153"/>
      <c r="AC820" s="153"/>
      <c r="AD820" s="153"/>
      <c r="AE820" s="153"/>
      <c r="AF820" s="153"/>
      <c r="AG820" s="153"/>
      <c r="AH820" s="153"/>
      <c r="AI820" s="153"/>
      <c r="AJ820" s="153"/>
      <c r="AK820" s="153"/>
      <c r="AL820" s="153"/>
      <c r="AM820" s="153"/>
      <c r="AN820" s="153"/>
    </row>
    <row r="821" spans="1:40" ht="36" customHeight="1">
      <c r="A821" s="190">
        <v>7</v>
      </c>
      <c r="B821" s="190" t="s">
        <v>797</v>
      </c>
      <c r="C821" s="190">
        <v>73</v>
      </c>
      <c r="D821" s="191" t="s">
        <v>1154</v>
      </c>
      <c r="E821" s="237">
        <v>731</v>
      </c>
      <c r="F821" s="193" t="s">
        <v>1156</v>
      </c>
      <c r="G821" s="193" t="s">
        <v>1158</v>
      </c>
      <c r="H821" s="212" t="str">
        <f>HYPERLINK("http://bsdd.buildingsmart.org/#concept/details/3vHUC6oT0Hsm00051Mm008","3vHUC6oT0Hsm00051Mm008")</f>
        <v>3vHUC6oT0Hsm00051Mm008</v>
      </c>
      <c r="I821" s="123" t="s">
        <v>5220</v>
      </c>
      <c r="J821" s="195" t="s">
        <v>4824</v>
      </c>
      <c r="K821" s="206"/>
      <c r="L821" s="248" t="s">
        <v>4825</v>
      </c>
      <c r="M821" s="198"/>
      <c r="N821" s="203" t="s">
        <v>565</v>
      </c>
      <c r="O821" s="203" t="s">
        <v>4817</v>
      </c>
      <c r="P821" s="191" t="s">
        <v>4818</v>
      </c>
      <c r="Q821" s="192" t="s">
        <v>3207</v>
      </c>
      <c r="R821" s="198"/>
      <c r="S821" s="198"/>
      <c r="T821" s="203"/>
      <c r="U821" s="200"/>
      <c r="V821" s="200"/>
      <c r="W821" s="226"/>
      <c r="X821" s="226"/>
      <c r="Y821" s="226"/>
      <c r="Z821" s="202" t="str">
        <f t="shared" si="0"/>
        <v>RLOM FlowTerminals</v>
      </c>
      <c r="AA821" s="172"/>
      <c r="AB821" s="153"/>
      <c r="AC821" s="153"/>
      <c r="AD821" s="153"/>
      <c r="AE821" s="153"/>
      <c r="AF821" s="153"/>
      <c r="AG821" s="153"/>
      <c r="AH821" s="153"/>
      <c r="AI821" s="153"/>
      <c r="AJ821" s="153"/>
      <c r="AK821" s="153"/>
      <c r="AL821" s="153"/>
      <c r="AM821" s="153"/>
      <c r="AN821" s="153"/>
    </row>
    <row r="822" spans="1:40" ht="36" customHeight="1">
      <c r="A822" s="190">
        <v>7</v>
      </c>
      <c r="B822" s="190" t="s">
        <v>797</v>
      </c>
      <c r="C822" s="190">
        <v>73</v>
      </c>
      <c r="D822" s="191" t="s">
        <v>1154</v>
      </c>
      <c r="E822" s="237">
        <v>731</v>
      </c>
      <c r="F822" s="193" t="s">
        <v>1156</v>
      </c>
      <c r="G822" s="193" t="s">
        <v>1158</v>
      </c>
      <c r="H822" s="212" t="str">
        <f>HYPERLINK("http://bsdd.buildingsmart.org/#concept/details/3vHKN_oT0Hsm00051Mm008","3vHKN_oT0Hsm00051Mm008")</f>
        <v>3vHKN_oT0Hsm00051Mm008</v>
      </c>
      <c r="I822" s="123" t="s">
        <v>5221</v>
      </c>
      <c r="J822" s="195" t="s">
        <v>4826</v>
      </c>
      <c r="K822" s="191"/>
      <c r="L822" s="248" t="s">
        <v>4827</v>
      </c>
      <c r="M822" s="199"/>
      <c r="N822" s="203" t="s">
        <v>1645</v>
      </c>
      <c r="O822" s="203" t="s">
        <v>1646</v>
      </c>
      <c r="P822" s="191" t="s">
        <v>4828</v>
      </c>
      <c r="Q822" s="198" t="s">
        <v>1649</v>
      </c>
      <c r="R822" s="198" t="s">
        <v>1650</v>
      </c>
      <c r="S822" s="198" t="s">
        <v>1986</v>
      </c>
      <c r="T822" s="203"/>
      <c r="U822" s="200"/>
      <c r="V822" s="200"/>
      <c r="W822" s="201"/>
      <c r="X822" s="201"/>
      <c r="Y822" s="201"/>
      <c r="Z822" s="202" t="str">
        <f t="shared" si="0"/>
        <v>RLOM WasteTerminals</v>
      </c>
      <c r="AA822" s="172"/>
      <c r="AB822" s="153"/>
      <c r="AC822" s="153"/>
      <c r="AD822" s="153"/>
      <c r="AE822" s="153"/>
      <c r="AF822" s="153"/>
      <c r="AG822" s="153"/>
      <c r="AH822" s="153"/>
      <c r="AI822" s="153"/>
      <c r="AJ822" s="153"/>
      <c r="AK822" s="153"/>
      <c r="AL822" s="153"/>
      <c r="AM822" s="153"/>
      <c r="AN822" s="153"/>
    </row>
    <row r="823" spans="1:40" ht="36" customHeight="1">
      <c r="A823" s="190">
        <v>7</v>
      </c>
      <c r="B823" s="190" t="s">
        <v>797</v>
      </c>
      <c r="C823" s="190">
        <v>73</v>
      </c>
      <c r="D823" s="191" t="s">
        <v>1154</v>
      </c>
      <c r="E823" s="237">
        <v>731</v>
      </c>
      <c r="F823" s="193" t="s">
        <v>1156</v>
      </c>
      <c r="G823" s="193" t="s">
        <v>1158</v>
      </c>
      <c r="H823" s="212" t="str">
        <f>HYPERLINK("http://bsdd.buildingsmart.org/#concept/details/1AXdnO9Qz01fTx81xYA8en","1AXdnO9Qz01fTx81xYA8en")</f>
        <v>1AXdnO9Qz01fTx81xYA8en</v>
      </c>
      <c r="I823" s="123" t="s">
        <v>1212</v>
      </c>
      <c r="J823" s="195" t="s">
        <v>4829</v>
      </c>
      <c r="K823" s="191"/>
      <c r="L823" s="248" t="s">
        <v>4830</v>
      </c>
      <c r="M823" s="198"/>
      <c r="N823" s="203"/>
      <c r="O823" s="203"/>
      <c r="P823" s="191"/>
      <c r="Q823" s="203" t="s">
        <v>986</v>
      </c>
      <c r="R823" s="203" t="s">
        <v>987</v>
      </c>
      <c r="S823" s="203" t="s">
        <v>1380</v>
      </c>
      <c r="T823" s="203"/>
      <c r="U823" s="200"/>
      <c r="V823" s="200"/>
      <c r="W823" s="226"/>
      <c r="X823" s="226"/>
      <c r="Y823" s="226"/>
      <c r="Z823" s="202" t="str">
        <f t="shared" si="0"/>
        <v>RLOM Valves</v>
      </c>
      <c r="AA823" s="172"/>
      <c r="AB823" s="153"/>
      <c r="AC823" s="153"/>
      <c r="AD823" s="153"/>
      <c r="AE823" s="153"/>
      <c r="AF823" s="153"/>
      <c r="AG823" s="153"/>
      <c r="AH823" s="153"/>
      <c r="AI823" s="153"/>
      <c r="AJ823" s="153"/>
      <c r="AK823" s="153"/>
      <c r="AL823" s="153"/>
      <c r="AM823" s="153"/>
      <c r="AN823" s="153"/>
    </row>
    <row r="824" spans="1:40" ht="12.75" customHeight="1">
      <c r="A824" s="190">
        <v>7</v>
      </c>
      <c r="B824" s="190" t="s">
        <v>797</v>
      </c>
      <c r="C824" s="190">
        <v>73</v>
      </c>
      <c r="D824" s="191" t="s">
        <v>1154</v>
      </c>
      <c r="E824" s="237">
        <v>761</v>
      </c>
      <c r="F824" s="193"/>
      <c r="G824" s="193"/>
      <c r="H824" s="212" t="str">
        <f>HYPERLINK("http://bsdd.buildingsmart.org/#concept/details/3vHKyEoT0Hsm00051Mm008","3vHKyEoT0Hsm00051Mm008")</f>
        <v>3vHKyEoT0Hsm00051Mm008</v>
      </c>
      <c r="I824" s="123" t="s">
        <v>5222</v>
      </c>
      <c r="J824" s="195" t="s">
        <v>4831</v>
      </c>
      <c r="K824" s="191"/>
      <c r="L824" s="248" t="s">
        <v>4832</v>
      </c>
      <c r="M824" s="198"/>
      <c r="N824" s="203"/>
      <c r="O824" s="203"/>
      <c r="P824" s="191"/>
      <c r="Q824" s="203" t="s">
        <v>4833</v>
      </c>
      <c r="R824" s="203"/>
      <c r="S824" s="203"/>
      <c r="T824" s="203"/>
      <c r="U824" s="200"/>
      <c r="V824" s="200"/>
      <c r="W824" s="226"/>
      <c r="X824" s="226"/>
      <c r="Y824" s="226"/>
      <c r="Z824" s="202" t="str">
        <f t="shared" si="0"/>
        <v>RLOM GeographicElements</v>
      </c>
      <c r="AA824" s="172"/>
      <c r="AB824" s="153"/>
      <c r="AC824" s="153"/>
      <c r="AD824" s="153"/>
      <c r="AE824" s="153"/>
      <c r="AF824" s="153"/>
      <c r="AG824" s="153"/>
      <c r="AH824" s="153"/>
      <c r="AI824" s="153"/>
      <c r="AJ824" s="153"/>
      <c r="AK824" s="153"/>
      <c r="AL824" s="153"/>
      <c r="AM824" s="153"/>
      <c r="AN824" s="153"/>
    </row>
    <row r="825" spans="1:40" ht="33" customHeight="1">
      <c r="A825" s="190">
        <v>7</v>
      </c>
      <c r="B825" s="190" t="s">
        <v>797</v>
      </c>
      <c r="C825" s="190">
        <v>76</v>
      </c>
      <c r="D825" s="191" t="s">
        <v>1215</v>
      </c>
      <c r="E825" s="237">
        <v>762</v>
      </c>
      <c r="F825" s="193" t="s">
        <v>1216</v>
      </c>
      <c r="G825" s="193" t="s">
        <v>1217</v>
      </c>
      <c r="H825" s="212" t="str">
        <f>HYPERLINK("http://bsdd.buildingsmart.org/#concept/details/2afnHQE8j8QRdM0rEff0jw","2afnHQE8j8QRdM0rEff0jw")</f>
        <v>2afnHQE8j8QRdM0rEff0jw</v>
      </c>
      <c r="I825" s="123" t="s">
        <v>5223</v>
      </c>
      <c r="J825" s="195" t="s">
        <v>4834</v>
      </c>
      <c r="K825" s="191" t="s">
        <v>4835</v>
      </c>
      <c r="L825" s="248" t="s">
        <v>4836</v>
      </c>
      <c r="M825" s="203" t="s">
        <v>4837</v>
      </c>
      <c r="N825" s="203"/>
      <c r="O825" s="203"/>
      <c r="P825" s="191"/>
      <c r="Q825" s="203" t="s">
        <v>3102</v>
      </c>
      <c r="R825" s="203" t="s">
        <v>3103</v>
      </c>
      <c r="S825" s="210" t="s">
        <v>3107</v>
      </c>
      <c r="T825" s="203"/>
      <c r="U825" s="200"/>
      <c r="V825" s="200"/>
      <c r="W825" s="226"/>
      <c r="X825" s="226"/>
      <c r="Y825" s="226"/>
      <c r="Z825" s="202" t="str">
        <f t="shared" si="0"/>
        <v>RLOM Spaces</v>
      </c>
      <c r="AA825" s="172"/>
      <c r="AB825" s="153"/>
      <c r="AC825" s="153"/>
      <c r="AD825" s="153"/>
      <c r="AE825" s="153"/>
      <c r="AF825" s="153"/>
      <c r="AG825" s="153"/>
      <c r="AH825" s="153"/>
      <c r="AI825" s="153"/>
      <c r="AJ825" s="153"/>
      <c r="AK825" s="153"/>
      <c r="AL825" s="153"/>
      <c r="AM825" s="153"/>
      <c r="AN825" s="153"/>
    </row>
    <row r="826" spans="1:40" ht="12.75" customHeight="1">
      <c r="A826" s="190">
        <v>7</v>
      </c>
      <c r="B826" s="190" t="s">
        <v>797</v>
      </c>
      <c r="C826" s="190">
        <v>77</v>
      </c>
      <c r="D826" s="191" t="s">
        <v>1227</v>
      </c>
      <c r="E826" s="192">
        <v>772</v>
      </c>
      <c r="F826" s="192" t="s">
        <v>1229</v>
      </c>
      <c r="G826" s="193" t="s">
        <v>1235</v>
      </c>
      <c r="H826" s="212" t="str">
        <f>HYPERLINK("http://bsdd.buildingsmart.org/#concept/details/33ZWG0WJmHu000025QrE$V","33ZWG0WJmHu000025QrE$V")</f>
        <v>33ZWG0WJmHu000025QrE$V</v>
      </c>
      <c r="I826" s="123" t="s">
        <v>1229</v>
      </c>
      <c r="J826" s="195" t="s">
        <v>4838</v>
      </c>
      <c r="K826" s="191"/>
      <c r="L826" s="248" t="s">
        <v>4839</v>
      </c>
      <c r="M826" s="210"/>
      <c r="N826" s="203"/>
      <c r="O826" s="203"/>
      <c r="P826" s="191"/>
      <c r="Q826" s="192" t="s">
        <v>847</v>
      </c>
      <c r="R826" s="198"/>
      <c r="S826" s="206"/>
      <c r="T826" s="199"/>
      <c r="U826" s="200"/>
      <c r="V826" s="200"/>
      <c r="W826" s="201"/>
      <c r="X826" s="201"/>
      <c r="Y826" s="201"/>
      <c r="Z826" s="202" t="str">
        <f t="shared" si="0"/>
        <v>RLOM BuildingElementProxys</v>
      </c>
      <c r="AA826" s="172"/>
      <c r="AB826" s="153"/>
      <c r="AC826" s="153"/>
      <c r="AD826" s="153"/>
      <c r="AE826" s="153"/>
      <c r="AF826" s="153"/>
      <c r="AG826" s="153"/>
      <c r="AH826" s="153"/>
      <c r="AI826" s="153"/>
      <c r="AJ826" s="153"/>
      <c r="AK826" s="153"/>
      <c r="AL826" s="153"/>
      <c r="AM826" s="153"/>
      <c r="AN826" s="153"/>
    </row>
    <row r="827" spans="1:40" ht="18" customHeight="1">
      <c r="A827" s="190">
        <v>7</v>
      </c>
      <c r="B827" s="190" t="s">
        <v>797</v>
      </c>
      <c r="C827" s="190">
        <v>77</v>
      </c>
      <c r="D827" s="191" t="s">
        <v>1227</v>
      </c>
      <c r="E827" s="237">
        <v>773</v>
      </c>
      <c r="F827" s="193" t="s">
        <v>913</v>
      </c>
      <c r="G827" s="193" t="s">
        <v>1244</v>
      </c>
      <c r="H827" s="212" t="str">
        <f>HYPERLINK("http://bsdd.buildingsmart.org/#concept/details/0XIRhJ_gb1fOA1sCSP_Lz3","0XIRhJ_gb1fOA1sCSP_Lz3")</f>
        <v>0XIRhJ_gb1fOA1sCSP_Lz3</v>
      </c>
      <c r="I827" s="123" t="s">
        <v>5224</v>
      </c>
      <c r="J827" s="195" t="s">
        <v>4840</v>
      </c>
      <c r="K827" s="191"/>
      <c r="L827" s="248" t="s">
        <v>4841</v>
      </c>
      <c r="M827" s="210"/>
      <c r="N827" s="203"/>
      <c r="O827" s="203"/>
      <c r="P827" s="191"/>
      <c r="Q827" s="192" t="s">
        <v>2783</v>
      </c>
      <c r="R827" s="198"/>
      <c r="S827" s="206"/>
      <c r="T827" s="199"/>
      <c r="U827" s="200"/>
      <c r="V827" s="200"/>
      <c r="W827" s="201"/>
      <c r="X827" s="201"/>
      <c r="Y827" s="201"/>
      <c r="Z827" s="202" t="str">
        <f t="shared" si="0"/>
        <v>RLOM Furnitures</v>
      </c>
      <c r="AA827" s="172"/>
      <c r="AB827" s="153"/>
      <c r="AC827" s="153"/>
      <c r="AD827" s="153"/>
      <c r="AE827" s="153"/>
      <c r="AF827" s="153"/>
      <c r="AG827" s="153"/>
      <c r="AH827" s="153"/>
      <c r="AI827" s="153"/>
      <c r="AJ827" s="153"/>
      <c r="AK827" s="153"/>
      <c r="AL827" s="153"/>
      <c r="AM827" s="153"/>
      <c r="AN827" s="153"/>
    </row>
    <row r="828" spans="1:40" ht="18" customHeight="1">
      <c r="A828" s="190">
        <v>7</v>
      </c>
      <c r="B828" s="190" t="s">
        <v>797</v>
      </c>
      <c r="C828" s="190">
        <v>77</v>
      </c>
      <c r="D828" s="191" t="s">
        <v>1227</v>
      </c>
      <c r="E828" s="237">
        <v>773</v>
      </c>
      <c r="F828" s="193" t="s">
        <v>913</v>
      </c>
      <c r="G828" s="193" t="s">
        <v>1244</v>
      </c>
      <c r="H828" s="212" t="str">
        <f>HYPERLINK("http://bsdd.buildingsmart.org/#concept/details/3vHZlQoT0Hsm00051Mm008","3vHZlQoT0Hsm00051Mm008")</f>
        <v>3vHZlQoT0Hsm00051Mm008</v>
      </c>
      <c r="I828" s="123" t="s">
        <v>1252</v>
      </c>
      <c r="J828" s="195" t="s">
        <v>4842</v>
      </c>
      <c r="K828" s="191"/>
      <c r="L828" s="248" t="s">
        <v>4843</v>
      </c>
      <c r="M828" s="210"/>
      <c r="N828" s="203"/>
      <c r="O828" s="203"/>
      <c r="P828" s="191"/>
      <c r="Q828" s="192" t="s">
        <v>2783</v>
      </c>
      <c r="R828" s="192"/>
      <c r="S828" s="206"/>
      <c r="T828" s="199"/>
      <c r="U828" s="200"/>
      <c r="V828" s="200"/>
      <c r="W828" s="201"/>
      <c r="X828" s="201"/>
      <c r="Y828" s="201"/>
      <c r="Z828" s="202" t="str">
        <f t="shared" si="0"/>
        <v>RLOM Furnitures</v>
      </c>
      <c r="AA828" s="172"/>
      <c r="AB828" s="153"/>
      <c r="AC828" s="153"/>
      <c r="AD828" s="153"/>
      <c r="AE828" s="153"/>
      <c r="AF828" s="153"/>
      <c r="AG828" s="153"/>
      <c r="AH828" s="153"/>
      <c r="AI828" s="153"/>
      <c r="AJ828" s="153"/>
      <c r="AK828" s="153"/>
      <c r="AL828" s="153"/>
      <c r="AM828" s="153"/>
      <c r="AN828" s="153"/>
    </row>
    <row r="829" spans="1:40" ht="18" customHeight="1">
      <c r="A829" s="190">
        <v>7</v>
      </c>
      <c r="B829" s="190" t="s">
        <v>797</v>
      </c>
      <c r="C829" s="190">
        <v>77</v>
      </c>
      <c r="D829" s="191" t="s">
        <v>1227</v>
      </c>
      <c r="E829" s="237">
        <v>773</v>
      </c>
      <c r="F829" s="193" t="s">
        <v>913</v>
      </c>
      <c r="G829" s="193" t="s">
        <v>1244</v>
      </c>
      <c r="H829" s="212" t="str">
        <f>HYPERLINK("http://bsdd.buildingsmart.org/#concept/details/0jWN_0BRiHtm00025QrE$V","0jWN_0BRiHtm00025QrE$V")</f>
        <v>0jWN_0BRiHtm00025QrE$V</v>
      </c>
      <c r="I829" s="123" t="s">
        <v>5225</v>
      </c>
      <c r="J829" s="195" t="s">
        <v>4844</v>
      </c>
      <c r="K829" s="191"/>
      <c r="L829" s="248" t="s">
        <v>1263</v>
      </c>
      <c r="M829" s="210"/>
      <c r="N829" s="203"/>
      <c r="O829" s="203"/>
      <c r="P829" s="191"/>
      <c r="Q829" s="192" t="s">
        <v>2783</v>
      </c>
      <c r="R829" s="192"/>
      <c r="S829" s="206"/>
      <c r="T829" s="199"/>
      <c r="U829" s="200"/>
      <c r="V829" s="200"/>
      <c r="W829" s="201"/>
      <c r="X829" s="201"/>
      <c r="Y829" s="201"/>
      <c r="Z829" s="202" t="str">
        <f t="shared" si="0"/>
        <v>RLOM Furnitures</v>
      </c>
      <c r="AA829" s="172"/>
      <c r="AB829" s="153"/>
      <c r="AC829" s="153"/>
      <c r="AD829" s="153"/>
      <c r="AE829" s="153"/>
      <c r="AF829" s="153"/>
      <c r="AG829" s="153"/>
      <c r="AH829" s="153"/>
      <c r="AI829" s="153"/>
      <c r="AJ829" s="153"/>
      <c r="AK829" s="153"/>
      <c r="AL829" s="153"/>
      <c r="AM829" s="153"/>
      <c r="AN829" s="153"/>
    </row>
    <row r="830" spans="1:40" ht="18" customHeight="1">
      <c r="A830" s="190">
        <v>2</v>
      </c>
      <c r="B830" s="190" t="s">
        <v>398</v>
      </c>
      <c r="C830" s="190">
        <v>29</v>
      </c>
      <c r="D830" s="191" t="s">
        <v>3064</v>
      </c>
      <c r="E830" s="192">
        <v>800</v>
      </c>
      <c r="F830" s="192"/>
      <c r="G830" s="191"/>
      <c r="H830" s="222" t="str">
        <f>HYPERLINK("http://bsdd.buildingsmart.org/#concept/details/0rm8MZg$P0ywpSkBGfBY9J","0rm8MZg$P0ywpSkBGfBY9J")</f>
        <v>0rm8MZg$P0ywpSkBGfBY9J</v>
      </c>
      <c r="I830" s="123" t="s">
        <v>3099</v>
      </c>
      <c r="J830" s="195" t="s">
        <v>4845</v>
      </c>
      <c r="K830" s="191"/>
      <c r="L830" s="249" t="s">
        <v>4846</v>
      </c>
      <c r="M830" s="210"/>
      <c r="N830" s="203"/>
      <c r="O830" s="203"/>
      <c r="P830" s="191"/>
      <c r="Q830" s="199" t="s">
        <v>3102</v>
      </c>
      <c r="R830" s="207" t="s">
        <v>3103</v>
      </c>
      <c r="S830" s="207" t="s">
        <v>3104</v>
      </c>
      <c r="T830" s="199"/>
      <c r="U830" s="201"/>
      <c r="V830" s="200"/>
      <c r="W830" s="201"/>
      <c r="X830" s="201"/>
      <c r="Y830" s="201"/>
      <c r="Z830" s="202" t="str">
        <f t="shared" si="0"/>
        <v>RLOM Spaces</v>
      </c>
      <c r="AA830" s="172"/>
      <c r="AB830" s="153"/>
      <c r="AC830" s="153"/>
      <c r="AD830" s="153"/>
      <c r="AE830" s="153"/>
      <c r="AF830" s="153"/>
      <c r="AG830" s="153"/>
      <c r="AH830" s="153"/>
      <c r="AI830" s="153"/>
      <c r="AJ830" s="153"/>
      <c r="AK830" s="153"/>
      <c r="AL830" s="153"/>
      <c r="AM830" s="153"/>
      <c r="AN830" s="153"/>
    </row>
    <row r="831" spans="1:40" ht="33" customHeight="1">
      <c r="A831" s="190">
        <v>2</v>
      </c>
      <c r="B831" s="190" t="s">
        <v>398</v>
      </c>
      <c r="C831" s="190">
        <v>29</v>
      </c>
      <c r="D831" s="191" t="s">
        <v>3064</v>
      </c>
      <c r="E831" s="192">
        <v>800</v>
      </c>
      <c r="F831" s="192"/>
      <c r="G831" s="191"/>
      <c r="H831" s="222" t="str">
        <f>HYPERLINK("http://bsdd.buildingsmart.org/#concept/details/07RUa52wD4a8tYpdnI3Y$l","07RUa52wD4a8tYpdnI3Y$l")</f>
        <v>07RUa52wD4a8tYpdnI3Y$l</v>
      </c>
      <c r="I831" s="123" t="s">
        <v>5226</v>
      </c>
      <c r="J831" s="195" t="s">
        <v>4847</v>
      </c>
      <c r="K831" s="191" t="s">
        <v>4848</v>
      </c>
      <c r="L831" s="249" t="s">
        <v>4849</v>
      </c>
      <c r="M831" s="203" t="s">
        <v>4850</v>
      </c>
      <c r="N831" s="199"/>
      <c r="O831" s="203"/>
      <c r="P831" s="206"/>
      <c r="Q831" s="199" t="s">
        <v>3102</v>
      </c>
      <c r="R831" s="207" t="s">
        <v>3103</v>
      </c>
      <c r="S831" s="207" t="s">
        <v>3107</v>
      </c>
      <c r="T831" s="199"/>
      <c r="U831" s="201"/>
      <c r="V831" s="200"/>
      <c r="W831" s="201"/>
      <c r="X831" s="201"/>
      <c r="Y831" s="201"/>
      <c r="Z831" s="202" t="str">
        <f t="shared" si="0"/>
        <v>RLOM Spaces</v>
      </c>
      <c r="AA831" s="172"/>
      <c r="AB831" s="153"/>
      <c r="AC831" s="153"/>
      <c r="AD831" s="153"/>
      <c r="AE831" s="153"/>
      <c r="AF831" s="153"/>
      <c r="AG831" s="153"/>
      <c r="AH831" s="153"/>
      <c r="AI831" s="153"/>
      <c r="AJ831" s="153"/>
      <c r="AK831" s="153"/>
      <c r="AL831" s="153"/>
      <c r="AM831" s="153"/>
      <c r="AN831" s="153"/>
    </row>
    <row r="832" spans="1:40" ht="18" customHeight="1">
      <c r="A832" s="190">
        <v>2</v>
      </c>
      <c r="B832" s="190" t="s">
        <v>398</v>
      </c>
      <c r="C832" s="190">
        <v>29</v>
      </c>
      <c r="D832" s="191" t="s">
        <v>3064</v>
      </c>
      <c r="E832" s="192">
        <v>800</v>
      </c>
      <c r="F832" s="192"/>
      <c r="G832" s="191"/>
      <c r="H832" s="222" t="str">
        <f>HYPERLINK("http://bsdd.buildingsmart.org/#concept/details/3vHRpSoT0Hsm00051Mm008","3vHRpSoT0Hsm00051Mm008")</f>
        <v>3vHRpSoT0Hsm00051Mm008</v>
      </c>
      <c r="I832" s="123" t="s">
        <v>3110</v>
      </c>
      <c r="J832" s="195" t="s">
        <v>4851</v>
      </c>
      <c r="K832" s="191" t="s">
        <v>3111</v>
      </c>
      <c r="L832" s="249" t="s">
        <v>4852</v>
      </c>
      <c r="M832" s="203" t="s">
        <v>3114</v>
      </c>
      <c r="N832" s="203"/>
      <c r="O832" s="203"/>
      <c r="P832" s="206"/>
      <c r="Q832" s="199" t="s">
        <v>3102</v>
      </c>
      <c r="R832" s="207" t="s">
        <v>3103</v>
      </c>
      <c r="S832" s="207" t="s">
        <v>3115</v>
      </c>
      <c r="T832" s="199"/>
      <c r="U832" s="201"/>
      <c r="V832" s="200"/>
      <c r="W832" s="201"/>
      <c r="X832" s="201"/>
      <c r="Y832" s="201"/>
      <c r="Z832" s="202" t="str">
        <f t="shared" si="0"/>
        <v>RLOM Spaces</v>
      </c>
      <c r="AA832" s="172"/>
      <c r="AB832" s="153"/>
      <c r="AC832" s="153"/>
      <c r="AD832" s="153"/>
      <c r="AE832" s="153"/>
      <c r="AF832" s="153"/>
      <c r="AG832" s="153"/>
      <c r="AH832" s="153"/>
      <c r="AI832" s="153"/>
      <c r="AJ832" s="153"/>
      <c r="AK832" s="153"/>
      <c r="AL832" s="153"/>
      <c r="AM832" s="153"/>
      <c r="AN832" s="153"/>
    </row>
    <row r="833" spans="1:40" ht="12.75" customHeight="1">
      <c r="A833" s="175"/>
      <c r="B833" s="175"/>
      <c r="C833" s="175"/>
      <c r="D833" s="176"/>
      <c r="E833" s="176"/>
      <c r="F833" s="176"/>
      <c r="G833" s="176"/>
      <c r="H833" s="177"/>
      <c r="I833" s="178"/>
      <c r="J833" s="179"/>
      <c r="K833" s="180"/>
      <c r="L833" s="252"/>
      <c r="M833" s="181"/>
      <c r="N833" s="182"/>
      <c r="O833" s="183"/>
      <c r="P833" s="184"/>
      <c r="Q833" s="185"/>
      <c r="R833" s="185"/>
      <c r="S833" s="186"/>
      <c r="T833" s="187"/>
      <c r="U833" s="175"/>
      <c r="V833" s="175"/>
      <c r="W833" s="175"/>
      <c r="X833" s="175"/>
      <c r="Y833" s="175"/>
      <c r="Z833" s="175"/>
      <c r="AA833" s="147"/>
      <c r="AB833" s="147"/>
      <c r="AC833" s="147"/>
      <c r="AD833" s="147"/>
      <c r="AE833" s="147"/>
      <c r="AF833" s="147"/>
      <c r="AG833" s="147"/>
      <c r="AH833" s="147"/>
      <c r="AI833" s="147"/>
      <c r="AJ833" s="147"/>
      <c r="AK833" s="147"/>
      <c r="AL833" s="147"/>
      <c r="AM833" s="147"/>
      <c r="AN833" s="147"/>
    </row>
    <row r="834" spans="1:40" ht="12.75" customHeight="1">
      <c r="A834" s="147"/>
      <c r="B834" s="147"/>
      <c r="C834" s="147"/>
      <c r="D834" s="146"/>
      <c r="E834" s="146"/>
      <c r="F834" s="146"/>
      <c r="G834" s="146"/>
      <c r="H834" s="155"/>
      <c r="I834" s="151"/>
      <c r="J834" s="152"/>
      <c r="K834" s="156"/>
      <c r="L834" s="253"/>
      <c r="M834" s="145"/>
      <c r="N834" s="157"/>
      <c r="O834" s="158"/>
      <c r="P834" s="145"/>
      <c r="Q834" s="159"/>
      <c r="R834" s="159"/>
      <c r="S834" s="160"/>
      <c r="T834" s="161"/>
      <c r="U834" s="147"/>
      <c r="V834" s="147"/>
      <c r="W834" s="147"/>
      <c r="X834" s="147"/>
      <c r="Y834" s="147"/>
      <c r="Z834" s="147"/>
      <c r="AA834" s="147"/>
      <c r="AB834" s="147"/>
      <c r="AC834" s="147"/>
      <c r="AD834" s="147"/>
      <c r="AE834" s="147"/>
      <c r="AF834" s="147"/>
      <c r="AG834" s="147"/>
      <c r="AH834" s="147"/>
      <c r="AI834" s="147"/>
      <c r="AJ834" s="147"/>
      <c r="AK834" s="147"/>
      <c r="AL834" s="147"/>
      <c r="AM834" s="147"/>
      <c r="AN834" s="147"/>
    </row>
    <row r="835" spans="1:40" ht="12.75" customHeight="1">
      <c r="A835" s="147"/>
      <c r="B835" s="147"/>
      <c r="C835" s="147"/>
      <c r="D835" s="146"/>
      <c r="E835" s="146"/>
      <c r="F835" s="146"/>
      <c r="G835" s="146"/>
      <c r="H835" s="155"/>
      <c r="I835" s="151"/>
      <c r="J835" s="152"/>
      <c r="K835" s="156"/>
      <c r="L835" s="253"/>
      <c r="M835" s="145"/>
      <c r="N835" s="157"/>
      <c r="O835" s="158"/>
      <c r="P835" s="145"/>
      <c r="Q835" s="145"/>
      <c r="R835" s="145"/>
      <c r="S835" s="160"/>
      <c r="T835" s="161"/>
      <c r="U835" s="147"/>
      <c r="V835" s="147"/>
      <c r="W835" s="147"/>
      <c r="X835" s="147"/>
      <c r="Y835" s="147"/>
      <c r="Z835" s="147"/>
      <c r="AA835" s="147"/>
      <c r="AB835" s="147"/>
      <c r="AC835" s="147"/>
      <c r="AD835" s="147"/>
      <c r="AE835" s="147"/>
      <c r="AF835" s="147"/>
      <c r="AG835" s="147"/>
      <c r="AH835" s="147"/>
      <c r="AI835" s="147"/>
      <c r="AJ835" s="147"/>
      <c r="AK835" s="147"/>
      <c r="AL835" s="147"/>
      <c r="AM835" s="147"/>
      <c r="AN835" s="147"/>
    </row>
    <row r="836" spans="1:40" ht="12.75" customHeight="1">
      <c r="A836" s="147"/>
      <c r="B836" s="147"/>
      <c r="C836" s="147"/>
      <c r="D836" s="146"/>
      <c r="E836" s="146"/>
      <c r="F836" s="146"/>
      <c r="G836" s="146"/>
      <c r="H836" s="155"/>
      <c r="I836" s="151"/>
      <c r="J836" s="152"/>
      <c r="K836" s="156"/>
      <c r="L836" s="253"/>
      <c r="M836" s="145"/>
      <c r="N836" s="157"/>
      <c r="O836" s="158"/>
      <c r="P836" s="145"/>
      <c r="Q836" s="145"/>
      <c r="R836" s="145"/>
      <c r="S836" s="160"/>
      <c r="T836" s="161"/>
      <c r="U836" s="147"/>
      <c r="V836" s="147"/>
      <c r="W836" s="147"/>
      <c r="X836" s="147"/>
      <c r="Y836" s="147"/>
      <c r="Z836" s="147"/>
      <c r="AA836" s="147"/>
      <c r="AB836" s="147"/>
      <c r="AC836" s="147"/>
      <c r="AD836" s="147"/>
      <c r="AE836" s="147"/>
      <c r="AF836" s="147"/>
      <c r="AG836" s="147"/>
      <c r="AH836" s="147"/>
      <c r="AI836" s="147"/>
      <c r="AJ836" s="147"/>
      <c r="AK836" s="147"/>
      <c r="AL836" s="147"/>
      <c r="AM836" s="147"/>
      <c r="AN836" s="147"/>
    </row>
    <row r="837" spans="1:40" ht="12.75" customHeight="1">
      <c r="A837" s="147"/>
      <c r="B837" s="147"/>
      <c r="C837" s="147"/>
      <c r="D837" s="146"/>
      <c r="E837" s="146"/>
      <c r="F837" s="146"/>
      <c r="G837" s="146"/>
      <c r="H837" s="155"/>
      <c r="I837" s="151"/>
      <c r="J837" s="152"/>
      <c r="K837" s="156"/>
      <c r="L837" s="253"/>
      <c r="M837" s="145"/>
      <c r="N837" s="157"/>
      <c r="O837" s="158"/>
      <c r="P837" s="145"/>
      <c r="Q837" s="145"/>
      <c r="R837" s="145"/>
      <c r="S837" s="160"/>
      <c r="T837" s="161"/>
      <c r="U837" s="147"/>
      <c r="V837" s="147"/>
      <c r="W837" s="147"/>
      <c r="X837" s="147"/>
      <c r="Y837" s="147"/>
      <c r="Z837" s="147"/>
      <c r="AA837" s="147"/>
      <c r="AB837" s="147"/>
      <c r="AC837" s="147"/>
      <c r="AD837" s="147"/>
      <c r="AE837" s="147"/>
      <c r="AF837" s="147"/>
      <c r="AG837" s="147"/>
      <c r="AH837" s="147"/>
      <c r="AI837" s="147"/>
      <c r="AJ837" s="147"/>
      <c r="AK837" s="147"/>
      <c r="AL837" s="147"/>
      <c r="AM837" s="147"/>
      <c r="AN837" s="147"/>
    </row>
    <row r="838" spans="1:40" ht="12.75" customHeight="1">
      <c r="A838" s="147"/>
      <c r="B838" s="147"/>
      <c r="C838" s="147"/>
      <c r="D838" s="146"/>
      <c r="E838" s="146"/>
      <c r="F838" s="146"/>
      <c r="G838" s="146"/>
      <c r="H838" s="155"/>
      <c r="I838" s="151"/>
      <c r="J838" s="152"/>
      <c r="K838" s="156"/>
      <c r="L838" s="253"/>
      <c r="M838" s="145"/>
      <c r="N838" s="157"/>
      <c r="O838" s="158"/>
      <c r="P838" s="145"/>
      <c r="Q838" s="145"/>
      <c r="R838" s="145"/>
      <c r="S838" s="160"/>
      <c r="T838" s="161"/>
      <c r="U838" s="147"/>
      <c r="V838" s="147"/>
      <c r="W838" s="147"/>
      <c r="X838" s="147"/>
      <c r="Y838" s="147"/>
      <c r="Z838" s="147"/>
      <c r="AA838" s="147"/>
      <c r="AB838" s="147"/>
      <c r="AC838" s="147"/>
      <c r="AD838" s="147"/>
      <c r="AE838" s="147"/>
      <c r="AF838" s="147"/>
      <c r="AG838" s="147"/>
      <c r="AH838" s="147"/>
      <c r="AI838" s="147"/>
      <c r="AJ838" s="147"/>
      <c r="AK838" s="147"/>
      <c r="AL838" s="147"/>
      <c r="AM838" s="147"/>
      <c r="AN838" s="147"/>
    </row>
    <row r="839" spans="1:40" ht="12.75" customHeight="1">
      <c r="A839" s="147"/>
      <c r="B839" s="147"/>
      <c r="C839" s="147"/>
      <c r="D839" s="146"/>
      <c r="E839" s="146"/>
      <c r="F839" s="146"/>
      <c r="G839" s="146"/>
      <c r="H839" s="155"/>
      <c r="I839" s="151"/>
      <c r="J839" s="152"/>
      <c r="K839" s="156"/>
      <c r="L839" s="253"/>
      <c r="M839" s="145"/>
      <c r="N839" s="157"/>
      <c r="O839" s="158"/>
      <c r="P839" s="145"/>
      <c r="Q839" s="145"/>
      <c r="R839" s="145"/>
      <c r="S839" s="160"/>
      <c r="T839" s="161"/>
      <c r="U839" s="147"/>
      <c r="V839" s="147"/>
      <c r="W839" s="147"/>
      <c r="X839" s="147"/>
      <c r="Y839" s="147"/>
      <c r="Z839" s="147"/>
      <c r="AA839" s="147"/>
      <c r="AB839" s="147"/>
      <c r="AC839" s="147"/>
      <c r="AD839" s="147"/>
      <c r="AE839" s="147"/>
      <c r="AF839" s="147"/>
      <c r="AG839" s="147"/>
      <c r="AH839" s="147"/>
      <c r="AI839" s="147"/>
      <c r="AJ839" s="147"/>
      <c r="AK839" s="147"/>
      <c r="AL839" s="147"/>
      <c r="AM839" s="147"/>
      <c r="AN839" s="147"/>
    </row>
    <row r="840" spans="1:40" ht="12.75" customHeight="1">
      <c r="A840" s="147"/>
      <c r="B840" s="147"/>
      <c r="C840" s="147"/>
      <c r="D840" s="146"/>
      <c r="E840" s="146"/>
      <c r="F840" s="146"/>
      <c r="G840" s="146"/>
      <c r="H840" s="155"/>
      <c r="I840" s="151"/>
      <c r="J840" s="152"/>
      <c r="K840" s="156"/>
      <c r="L840" s="253"/>
      <c r="M840" s="145"/>
      <c r="N840" s="157"/>
      <c r="O840" s="158"/>
      <c r="P840" s="145"/>
      <c r="Q840" s="145"/>
      <c r="R840" s="145"/>
      <c r="S840" s="160"/>
      <c r="T840" s="161"/>
      <c r="U840" s="147"/>
      <c r="V840" s="147"/>
      <c r="W840" s="147"/>
      <c r="X840" s="147"/>
      <c r="Y840" s="147"/>
      <c r="Z840" s="147"/>
      <c r="AA840" s="147"/>
      <c r="AB840" s="147"/>
      <c r="AC840" s="147"/>
      <c r="AD840" s="147"/>
      <c r="AE840" s="147"/>
      <c r="AF840" s="147"/>
      <c r="AG840" s="147"/>
      <c r="AH840" s="147"/>
      <c r="AI840" s="147"/>
      <c r="AJ840" s="147"/>
      <c r="AK840" s="147"/>
      <c r="AL840" s="147"/>
      <c r="AM840" s="147"/>
      <c r="AN840" s="147"/>
    </row>
    <row r="841" spans="1:40" ht="12.75" customHeight="1">
      <c r="A841" s="147"/>
      <c r="B841" s="147"/>
      <c r="C841" s="147"/>
      <c r="D841" s="146"/>
      <c r="E841" s="146"/>
      <c r="F841" s="146"/>
      <c r="G841" s="146"/>
      <c r="H841" s="155"/>
      <c r="I841" s="151"/>
      <c r="J841" s="152"/>
      <c r="K841" s="156"/>
      <c r="L841" s="253"/>
      <c r="M841" s="145"/>
      <c r="N841" s="157"/>
      <c r="O841" s="158"/>
      <c r="P841" s="145"/>
      <c r="Q841" s="145"/>
      <c r="R841" s="145"/>
      <c r="S841" s="160"/>
      <c r="T841" s="161"/>
      <c r="U841" s="147"/>
      <c r="V841" s="147"/>
      <c r="W841" s="147"/>
      <c r="X841" s="147"/>
      <c r="Y841" s="147"/>
      <c r="Z841" s="147"/>
      <c r="AA841" s="147"/>
      <c r="AB841" s="147"/>
      <c r="AC841" s="147"/>
      <c r="AD841" s="147"/>
      <c r="AE841" s="147"/>
      <c r="AF841" s="147"/>
      <c r="AG841" s="147"/>
      <c r="AH841" s="147"/>
      <c r="AI841" s="147"/>
      <c r="AJ841" s="147"/>
      <c r="AK841" s="147"/>
      <c r="AL841" s="147"/>
      <c r="AM841" s="147"/>
      <c r="AN841" s="147"/>
    </row>
    <row r="842" spans="1:40" ht="12.75" customHeight="1">
      <c r="A842" s="147"/>
      <c r="B842" s="147"/>
      <c r="C842" s="147"/>
      <c r="D842" s="146"/>
      <c r="E842" s="146"/>
      <c r="F842" s="146"/>
      <c r="G842" s="146"/>
      <c r="H842" s="155"/>
      <c r="I842" s="151"/>
      <c r="J842" s="152"/>
      <c r="K842" s="156"/>
      <c r="L842" s="253"/>
      <c r="M842" s="145"/>
      <c r="N842" s="157"/>
      <c r="O842" s="158"/>
      <c r="P842" s="145"/>
      <c r="Q842" s="145"/>
      <c r="R842" s="145"/>
      <c r="S842" s="160"/>
      <c r="T842" s="161"/>
      <c r="U842" s="147"/>
      <c r="V842" s="147"/>
      <c r="W842" s="147"/>
      <c r="X842" s="147"/>
      <c r="Y842" s="147"/>
      <c r="Z842" s="147"/>
      <c r="AA842" s="147"/>
      <c r="AB842" s="147"/>
      <c r="AC842" s="147"/>
      <c r="AD842" s="147"/>
      <c r="AE842" s="147"/>
      <c r="AF842" s="147"/>
      <c r="AG842" s="147"/>
      <c r="AH842" s="147"/>
      <c r="AI842" s="147"/>
      <c r="AJ842" s="147"/>
      <c r="AK842" s="147"/>
      <c r="AL842" s="147"/>
      <c r="AM842" s="147"/>
      <c r="AN842" s="147"/>
    </row>
    <row r="843" spans="1:40" ht="12.75" customHeight="1">
      <c r="A843" s="147"/>
      <c r="B843" s="147"/>
      <c r="C843" s="147"/>
      <c r="D843" s="146"/>
      <c r="E843" s="146"/>
      <c r="F843" s="146"/>
      <c r="G843" s="146"/>
      <c r="H843" s="155"/>
      <c r="I843" s="151"/>
      <c r="J843" s="152"/>
      <c r="K843" s="156"/>
      <c r="L843" s="253"/>
      <c r="M843" s="145"/>
      <c r="N843" s="157"/>
      <c r="O843" s="158"/>
      <c r="P843" s="145"/>
      <c r="Q843" s="145"/>
      <c r="R843" s="145"/>
      <c r="S843" s="160"/>
      <c r="T843" s="161"/>
      <c r="U843" s="147"/>
      <c r="V843" s="147"/>
      <c r="W843" s="147"/>
      <c r="X843" s="147"/>
      <c r="Y843" s="147"/>
      <c r="Z843" s="147"/>
      <c r="AA843" s="147"/>
      <c r="AB843" s="147"/>
      <c r="AC843" s="147"/>
      <c r="AD843" s="147"/>
      <c r="AE843" s="147"/>
      <c r="AF843" s="147"/>
      <c r="AG843" s="147"/>
      <c r="AH843" s="147"/>
      <c r="AI843" s="147"/>
      <c r="AJ843" s="147"/>
      <c r="AK843" s="147"/>
      <c r="AL843" s="147"/>
      <c r="AM843" s="147"/>
      <c r="AN843" s="147"/>
    </row>
    <row r="844" spans="1:40" ht="12.75" customHeight="1">
      <c r="A844" s="147"/>
      <c r="B844" s="147"/>
      <c r="C844" s="147"/>
      <c r="D844" s="146"/>
      <c r="E844" s="146"/>
      <c r="F844" s="146"/>
      <c r="G844" s="146"/>
      <c r="H844" s="155"/>
      <c r="I844" s="151"/>
      <c r="J844" s="152"/>
      <c r="K844" s="156"/>
      <c r="L844" s="253"/>
      <c r="M844" s="145"/>
      <c r="N844" s="157"/>
      <c r="O844" s="158"/>
      <c r="P844" s="145"/>
      <c r="Q844" s="145"/>
      <c r="R844" s="145"/>
      <c r="S844" s="160"/>
      <c r="T844" s="161"/>
      <c r="U844" s="147"/>
      <c r="V844" s="147"/>
      <c r="W844" s="147"/>
      <c r="X844" s="147"/>
      <c r="Y844" s="147"/>
      <c r="Z844" s="147"/>
      <c r="AA844" s="147"/>
      <c r="AB844" s="147"/>
      <c r="AC844" s="147"/>
      <c r="AD844" s="147"/>
      <c r="AE844" s="147"/>
      <c r="AF844" s="147"/>
      <c r="AG844" s="147"/>
      <c r="AH844" s="147"/>
      <c r="AI844" s="147"/>
      <c r="AJ844" s="147"/>
      <c r="AK844" s="147"/>
      <c r="AL844" s="147"/>
      <c r="AM844" s="147"/>
      <c r="AN844" s="147"/>
    </row>
    <row r="845" spans="1:40" ht="12.75" customHeight="1">
      <c r="A845" s="147"/>
      <c r="B845" s="147"/>
      <c r="C845" s="147"/>
      <c r="D845" s="146"/>
      <c r="E845" s="146"/>
      <c r="F845" s="146"/>
      <c r="G845" s="146"/>
      <c r="H845" s="155"/>
      <c r="I845" s="151"/>
      <c r="J845" s="152"/>
      <c r="K845" s="156"/>
      <c r="L845" s="253"/>
      <c r="M845" s="145"/>
      <c r="N845" s="157"/>
      <c r="O845" s="158"/>
      <c r="P845" s="145"/>
      <c r="Q845" s="145"/>
      <c r="R845" s="145"/>
      <c r="S845" s="160"/>
      <c r="T845" s="161"/>
      <c r="U845" s="147"/>
      <c r="V845" s="147"/>
      <c r="W845" s="147"/>
      <c r="X845" s="147"/>
      <c r="Y845" s="147"/>
      <c r="Z845" s="147"/>
      <c r="AA845" s="147"/>
      <c r="AB845" s="147"/>
      <c r="AC845" s="147"/>
      <c r="AD845" s="147"/>
      <c r="AE845" s="147"/>
      <c r="AF845" s="147"/>
      <c r="AG845" s="147"/>
      <c r="AH845" s="147"/>
      <c r="AI845" s="147"/>
      <c r="AJ845" s="147"/>
      <c r="AK845" s="147"/>
      <c r="AL845" s="147"/>
      <c r="AM845" s="147"/>
      <c r="AN845" s="147"/>
    </row>
    <row r="846" spans="1:40" ht="12.75" customHeight="1">
      <c r="A846" s="147"/>
      <c r="B846" s="147"/>
      <c r="C846" s="147"/>
      <c r="D846" s="146"/>
      <c r="E846" s="146"/>
      <c r="F846" s="146"/>
      <c r="G846" s="146"/>
      <c r="H846" s="155"/>
      <c r="I846" s="151"/>
      <c r="J846" s="152"/>
      <c r="K846" s="156"/>
      <c r="L846" s="253"/>
      <c r="M846" s="145"/>
      <c r="N846" s="157"/>
      <c r="O846" s="158"/>
      <c r="P846" s="145"/>
      <c r="Q846" s="145"/>
      <c r="R846" s="145"/>
      <c r="S846" s="160"/>
      <c r="T846" s="161"/>
      <c r="U846" s="147"/>
      <c r="V846" s="147"/>
      <c r="W846" s="147"/>
      <c r="X846" s="147"/>
      <c r="Y846" s="147"/>
      <c r="Z846" s="147"/>
      <c r="AA846" s="147"/>
      <c r="AB846" s="147"/>
      <c r="AC846" s="147"/>
      <c r="AD846" s="147"/>
      <c r="AE846" s="147"/>
      <c r="AF846" s="147"/>
      <c r="AG846" s="147"/>
      <c r="AH846" s="147"/>
      <c r="AI846" s="147"/>
      <c r="AJ846" s="147"/>
      <c r="AK846" s="147"/>
      <c r="AL846" s="147"/>
      <c r="AM846" s="147"/>
      <c r="AN846" s="147"/>
    </row>
    <row r="847" spans="1:40" ht="12.75" customHeight="1">
      <c r="A847" s="147"/>
      <c r="B847" s="147"/>
      <c r="C847" s="147"/>
      <c r="D847" s="146"/>
      <c r="E847" s="146"/>
      <c r="F847" s="146"/>
      <c r="G847" s="146"/>
      <c r="H847" s="155"/>
      <c r="I847" s="151"/>
      <c r="J847" s="152"/>
      <c r="K847" s="156"/>
      <c r="L847" s="253"/>
      <c r="M847" s="145"/>
      <c r="N847" s="157"/>
      <c r="O847" s="158"/>
      <c r="P847" s="145"/>
      <c r="Q847" s="145"/>
      <c r="R847" s="145"/>
      <c r="S847" s="160"/>
      <c r="T847" s="161"/>
      <c r="U847" s="147"/>
      <c r="V847" s="147"/>
      <c r="W847" s="147"/>
      <c r="X847" s="147"/>
      <c r="Y847" s="147"/>
      <c r="Z847" s="147"/>
      <c r="AA847" s="147"/>
      <c r="AB847" s="147"/>
      <c r="AC847" s="147"/>
      <c r="AD847" s="147"/>
      <c r="AE847" s="147"/>
      <c r="AF847" s="147"/>
      <c r="AG847" s="147"/>
      <c r="AH847" s="147"/>
      <c r="AI847" s="147"/>
      <c r="AJ847" s="147"/>
      <c r="AK847" s="147"/>
      <c r="AL847" s="147"/>
      <c r="AM847" s="147"/>
      <c r="AN847" s="147"/>
    </row>
    <row r="848" spans="1:40" ht="12.75" customHeight="1">
      <c r="A848" s="147"/>
      <c r="B848" s="147"/>
      <c r="C848" s="147"/>
      <c r="D848" s="146"/>
      <c r="E848" s="146"/>
      <c r="F848" s="146"/>
      <c r="G848" s="146"/>
      <c r="H848" s="155"/>
      <c r="I848" s="151"/>
      <c r="J848" s="152"/>
      <c r="K848" s="156"/>
      <c r="L848" s="253"/>
      <c r="M848" s="145"/>
      <c r="N848" s="157"/>
      <c r="O848" s="158"/>
      <c r="P848" s="145"/>
      <c r="Q848" s="145"/>
      <c r="R848" s="145"/>
      <c r="S848" s="160"/>
      <c r="T848" s="161"/>
      <c r="U848" s="147"/>
      <c r="V848" s="147"/>
      <c r="W848" s="147"/>
      <c r="X848" s="147"/>
      <c r="Y848" s="147"/>
      <c r="Z848" s="147"/>
      <c r="AA848" s="147"/>
      <c r="AB848" s="147"/>
      <c r="AC848" s="147"/>
      <c r="AD848" s="147"/>
      <c r="AE848" s="147"/>
      <c r="AF848" s="147"/>
      <c r="AG848" s="147"/>
      <c r="AH848" s="147"/>
      <c r="AI848" s="147"/>
      <c r="AJ848" s="147"/>
      <c r="AK848" s="147"/>
      <c r="AL848" s="147"/>
      <c r="AM848" s="147"/>
      <c r="AN848" s="147"/>
    </row>
    <row r="849" spans="1:40" ht="12.75" customHeight="1">
      <c r="A849" s="147"/>
      <c r="B849" s="147"/>
      <c r="C849" s="147"/>
      <c r="D849" s="146"/>
      <c r="E849" s="146"/>
      <c r="F849" s="146"/>
      <c r="G849" s="146"/>
      <c r="H849" s="155"/>
      <c r="I849" s="151"/>
      <c r="J849" s="152"/>
      <c r="K849" s="156"/>
      <c r="L849" s="253"/>
      <c r="M849" s="145"/>
      <c r="N849" s="157"/>
      <c r="O849" s="158"/>
      <c r="P849" s="145"/>
      <c r="Q849" s="145"/>
      <c r="R849" s="145"/>
      <c r="S849" s="160"/>
      <c r="T849" s="161"/>
      <c r="U849" s="147"/>
      <c r="V849" s="147"/>
      <c r="W849" s="147"/>
      <c r="X849" s="147"/>
      <c r="Y849" s="147"/>
      <c r="Z849" s="147"/>
      <c r="AA849" s="147"/>
      <c r="AB849" s="147"/>
      <c r="AC849" s="147"/>
      <c r="AD849" s="147"/>
      <c r="AE849" s="147"/>
      <c r="AF849" s="147"/>
      <c r="AG849" s="147"/>
      <c r="AH849" s="147"/>
      <c r="AI849" s="147"/>
      <c r="AJ849" s="147"/>
      <c r="AK849" s="147"/>
      <c r="AL849" s="147"/>
      <c r="AM849" s="147"/>
      <c r="AN849" s="147"/>
    </row>
    <row r="850" spans="1:40" ht="12.75" customHeight="1">
      <c r="A850" s="147"/>
      <c r="B850" s="147"/>
      <c r="C850" s="147"/>
      <c r="D850" s="146"/>
      <c r="E850" s="146"/>
      <c r="F850" s="146"/>
      <c r="G850" s="146"/>
      <c r="H850" s="155"/>
      <c r="I850" s="151"/>
      <c r="J850" s="152"/>
      <c r="K850" s="156"/>
      <c r="L850" s="253"/>
      <c r="M850" s="145"/>
      <c r="N850" s="157"/>
      <c r="O850" s="158"/>
      <c r="P850" s="145"/>
      <c r="Q850" s="145"/>
      <c r="R850" s="145"/>
      <c r="S850" s="160"/>
      <c r="T850" s="161"/>
      <c r="U850" s="147"/>
      <c r="V850" s="147"/>
      <c r="W850" s="147"/>
      <c r="X850" s="147"/>
      <c r="Y850" s="147"/>
      <c r="Z850" s="147"/>
      <c r="AA850" s="147"/>
      <c r="AB850" s="147"/>
      <c r="AC850" s="147"/>
      <c r="AD850" s="147"/>
      <c r="AE850" s="147"/>
      <c r="AF850" s="147"/>
      <c r="AG850" s="147"/>
      <c r="AH850" s="147"/>
      <c r="AI850" s="147"/>
      <c r="AJ850" s="147"/>
      <c r="AK850" s="147"/>
      <c r="AL850" s="147"/>
      <c r="AM850" s="147"/>
      <c r="AN850" s="147"/>
    </row>
    <row r="851" spans="1:40" ht="12.75" customHeight="1">
      <c r="A851" s="147"/>
      <c r="B851" s="147"/>
      <c r="C851" s="147"/>
      <c r="D851" s="146"/>
      <c r="E851" s="146"/>
      <c r="F851" s="146"/>
      <c r="G851" s="146"/>
      <c r="H851" s="155"/>
      <c r="I851" s="151"/>
      <c r="J851" s="152"/>
      <c r="K851" s="156"/>
      <c r="L851" s="253"/>
      <c r="M851" s="145"/>
      <c r="N851" s="157"/>
      <c r="O851" s="158"/>
      <c r="P851" s="145"/>
      <c r="Q851" s="145"/>
      <c r="R851" s="145"/>
      <c r="S851" s="160"/>
      <c r="T851" s="161"/>
      <c r="U851" s="147"/>
      <c r="V851" s="147"/>
      <c r="W851" s="147"/>
      <c r="X851" s="147"/>
      <c r="Y851" s="147"/>
      <c r="Z851" s="147"/>
      <c r="AA851" s="147"/>
      <c r="AB851" s="147"/>
      <c r="AC851" s="147"/>
      <c r="AD851" s="147"/>
      <c r="AE851" s="147"/>
      <c r="AF851" s="147"/>
      <c r="AG851" s="147"/>
      <c r="AH851" s="147"/>
      <c r="AI851" s="147"/>
      <c r="AJ851" s="147"/>
      <c r="AK851" s="147"/>
      <c r="AL851" s="147"/>
      <c r="AM851" s="147"/>
      <c r="AN851" s="147"/>
    </row>
    <row r="852" spans="1:40" ht="12.75" customHeight="1">
      <c r="A852" s="147"/>
      <c r="B852" s="147"/>
      <c r="C852" s="147"/>
      <c r="D852" s="146"/>
      <c r="E852" s="146"/>
      <c r="F852" s="146"/>
      <c r="G852" s="146"/>
      <c r="H852" s="155"/>
      <c r="I852" s="151"/>
      <c r="J852" s="152"/>
      <c r="K852" s="156"/>
      <c r="L852" s="253"/>
      <c r="M852" s="145"/>
      <c r="N852" s="157"/>
      <c r="O852" s="158"/>
      <c r="P852" s="145"/>
      <c r="Q852" s="145"/>
      <c r="R852" s="145"/>
      <c r="S852" s="160"/>
      <c r="T852" s="161"/>
      <c r="U852" s="147"/>
      <c r="V852" s="147"/>
      <c r="W852" s="147"/>
      <c r="X852" s="147"/>
      <c r="Y852" s="147"/>
      <c r="Z852" s="147"/>
      <c r="AA852" s="147"/>
      <c r="AB852" s="147"/>
      <c r="AC852" s="147"/>
      <c r="AD852" s="147"/>
      <c r="AE852" s="147"/>
      <c r="AF852" s="147"/>
      <c r="AG852" s="147"/>
      <c r="AH852" s="147"/>
      <c r="AI852" s="147"/>
      <c r="AJ852" s="147"/>
      <c r="AK852" s="147"/>
      <c r="AL852" s="147"/>
      <c r="AM852" s="147"/>
      <c r="AN852" s="147"/>
    </row>
    <row r="853" spans="1:40" ht="12.75" customHeight="1">
      <c r="A853" s="147"/>
      <c r="B853" s="147"/>
      <c r="C853" s="147"/>
      <c r="D853" s="146"/>
      <c r="E853" s="146"/>
      <c r="F853" s="146"/>
      <c r="G853" s="146"/>
      <c r="H853" s="155"/>
      <c r="I853" s="151"/>
      <c r="J853" s="152"/>
      <c r="K853" s="156"/>
      <c r="L853" s="253"/>
      <c r="M853" s="145"/>
      <c r="N853" s="157"/>
      <c r="O853" s="158"/>
      <c r="P853" s="145"/>
      <c r="Q853" s="145"/>
      <c r="R853" s="145"/>
      <c r="S853" s="160"/>
      <c r="T853" s="161"/>
      <c r="U853" s="147"/>
      <c r="V853" s="147"/>
      <c r="W853" s="147"/>
      <c r="X853" s="147"/>
      <c r="Y853" s="147"/>
      <c r="Z853" s="147"/>
      <c r="AA853" s="147"/>
      <c r="AB853" s="147"/>
      <c r="AC853" s="147"/>
      <c r="AD853" s="147"/>
      <c r="AE853" s="147"/>
      <c r="AF853" s="147"/>
      <c r="AG853" s="147"/>
      <c r="AH853" s="147"/>
      <c r="AI853" s="147"/>
      <c r="AJ853" s="147"/>
      <c r="AK853" s="147"/>
      <c r="AL853" s="147"/>
      <c r="AM853" s="147"/>
      <c r="AN853" s="147"/>
    </row>
    <row r="854" spans="1:40" ht="12.75" customHeight="1">
      <c r="A854" s="147"/>
      <c r="B854" s="147"/>
      <c r="C854" s="147"/>
      <c r="D854" s="146"/>
      <c r="E854" s="146"/>
      <c r="F854" s="146"/>
      <c r="G854" s="146"/>
      <c r="H854" s="155"/>
      <c r="I854" s="151"/>
      <c r="J854" s="152"/>
      <c r="K854" s="156"/>
      <c r="L854" s="253"/>
      <c r="M854" s="145"/>
      <c r="N854" s="157"/>
      <c r="O854" s="158"/>
      <c r="P854" s="145"/>
      <c r="Q854" s="145"/>
      <c r="R854" s="145"/>
      <c r="S854" s="160"/>
      <c r="T854" s="161"/>
      <c r="U854" s="147"/>
      <c r="V854" s="147"/>
      <c r="W854" s="147"/>
      <c r="X854" s="147"/>
      <c r="Y854" s="147"/>
      <c r="Z854" s="147"/>
      <c r="AA854" s="147"/>
      <c r="AB854" s="147"/>
      <c r="AC854" s="147"/>
      <c r="AD854" s="147"/>
      <c r="AE854" s="147"/>
      <c r="AF854" s="147"/>
      <c r="AG854" s="147"/>
      <c r="AH854" s="147"/>
      <c r="AI854" s="147"/>
      <c r="AJ854" s="147"/>
      <c r="AK854" s="147"/>
      <c r="AL854" s="147"/>
      <c r="AM854" s="147"/>
      <c r="AN854" s="147"/>
    </row>
    <row r="855" spans="1:40" ht="12.75" customHeight="1">
      <c r="A855" s="147"/>
      <c r="B855" s="147"/>
      <c r="C855" s="147"/>
      <c r="D855" s="146"/>
      <c r="E855" s="146"/>
      <c r="F855" s="146"/>
      <c r="G855" s="146"/>
      <c r="H855" s="155"/>
      <c r="I855" s="151"/>
      <c r="J855" s="152"/>
      <c r="K855" s="156"/>
      <c r="L855" s="253"/>
      <c r="M855" s="145"/>
      <c r="N855" s="157"/>
      <c r="O855" s="158"/>
      <c r="P855" s="145"/>
      <c r="Q855" s="145"/>
      <c r="R855" s="145"/>
      <c r="S855" s="160"/>
      <c r="T855" s="161"/>
      <c r="U855" s="147"/>
      <c r="V855" s="147"/>
      <c r="W855" s="147"/>
      <c r="X855" s="147"/>
      <c r="Y855" s="147"/>
      <c r="Z855" s="147"/>
      <c r="AA855" s="147"/>
      <c r="AB855" s="147"/>
      <c r="AC855" s="147"/>
      <c r="AD855" s="147"/>
      <c r="AE855" s="147"/>
      <c r="AF855" s="147"/>
      <c r="AG855" s="147"/>
      <c r="AH855" s="147"/>
      <c r="AI855" s="147"/>
      <c r="AJ855" s="147"/>
      <c r="AK855" s="147"/>
      <c r="AL855" s="147"/>
      <c r="AM855" s="147"/>
      <c r="AN855" s="147"/>
    </row>
    <row r="856" spans="1:40" ht="12.75" customHeight="1">
      <c r="A856" s="147"/>
      <c r="B856" s="147"/>
      <c r="C856" s="147"/>
      <c r="D856" s="146"/>
      <c r="E856" s="146"/>
      <c r="F856" s="146"/>
      <c r="G856" s="146"/>
      <c r="H856" s="155"/>
      <c r="I856" s="151"/>
      <c r="J856" s="152"/>
      <c r="K856" s="156"/>
      <c r="L856" s="253"/>
      <c r="M856" s="145"/>
      <c r="N856" s="157"/>
      <c r="O856" s="158"/>
      <c r="P856" s="145"/>
      <c r="Q856" s="145"/>
      <c r="R856" s="145"/>
      <c r="S856" s="160"/>
      <c r="T856" s="161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  <c r="AE856" s="147"/>
      <c r="AF856" s="147"/>
      <c r="AG856" s="147"/>
      <c r="AH856" s="147"/>
      <c r="AI856" s="147"/>
      <c r="AJ856" s="147"/>
      <c r="AK856" s="147"/>
      <c r="AL856" s="147"/>
      <c r="AM856" s="147"/>
      <c r="AN856" s="147"/>
    </row>
    <row r="857" spans="1:40" ht="12.75" customHeight="1">
      <c r="A857" s="147"/>
      <c r="B857" s="147"/>
      <c r="C857" s="147"/>
      <c r="D857" s="146"/>
      <c r="E857" s="146"/>
      <c r="F857" s="146"/>
      <c r="G857" s="146"/>
      <c r="H857" s="155"/>
      <c r="I857" s="151"/>
      <c r="J857" s="152"/>
      <c r="K857" s="156"/>
      <c r="L857" s="253"/>
      <c r="M857" s="145"/>
      <c r="N857" s="157"/>
      <c r="O857" s="158"/>
      <c r="P857" s="145"/>
      <c r="Q857" s="145"/>
      <c r="R857" s="145"/>
      <c r="S857" s="160"/>
      <c r="T857" s="161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  <c r="AE857" s="147"/>
      <c r="AF857" s="147"/>
      <c r="AG857" s="147"/>
      <c r="AH857" s="147"/>
      <c r="AI857" s="147"/>
      <c r="AJ857" s="147"/>
      <c r="AK857" s="147"/>
      <c r="AL857" s="147"/>
      <c r="AM857" s="147"/>
      <c r="AN857" s="147"/>
    </row>
    <row r="858" spans="1:40" ht="12.75" customHeight="1">
      <c r="A858" s="147"/>
      <c r="B858" s="147"/>
      <c r="C858" s="147"/>
      <c r="D858" s="146"/>
      <c r="E858" s="146"/>
      <c r="F858" s="146"/>
      <c r="G858" s="146"/>
      <c r="H858" s="155"/>
      <c r="I858" s="151"/>
      <c r="J858" s="152"/>
      <c r="K858" s="156"/>
      <c r="L858" s="253"/>
      <c r="M858" s="145"/>
      <c r="N858" s="157"/>
      <c r="O858" s="158"/>
      <c r="P858" s="145"/>
      <c r="Q858" s="145"/>
      <c r="R858" s="145"/>
      <c r="S858" s="160"/>
      <c r="T858" s="161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  <c r="AE858" s="147"/>
      <c r="AF858" s="147"/>
      <c r="AG858" s="147"/>
      <c r="AH858" s="147"/>
      <c r="AI858" s="147"/>
      <c r="AJ858" s="147"/>
      <c r="AK858" s="147"/>
      <c r="AL858" s="147"/>
      <c r="AM858" s="147"/>
      <c r="AN858" s="147"/>
    </row>
    <row r="859" spans="1:40" ht="12.75" customHeight="1">
      <c r="A859" s="147"/>
      <c r="B859" s="147"/>
      <c r="C859" s="147"/>
      <c r="D859" s="146"/>
      <c r="E859" s="146"/>
      <c r="F859" s="146"/>
      <c r="G859" s="146"/>
      <c r="H859" s="155"/>
      <c r="I859" s="151"/>
      <c r="J859" s="152"/>
      <c r="K859" s="156"/>
      <c r="L859" s="253"/>
      <c r="M859" s="145"/>
      <c r="N859" s="157"/>
      <c r="O859" s="158"/>
      <c r="P859" s="145"/>
      <c r="Q859" s="145"/>
      <c r="R859" s="145"/>
      <c r="S859" s="160"/>
      <c r="T859" s="161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  <c r="AE859" s="147"/>
      <c r="AF859" s="147"/>
      <c r="AG859" s="147"/>
      <c r="AH859" s="147"/>
      <c r="AI859" s="147"/>
      <c r="AJ859" s="147"/>
      <c r="AK859" s="147"/>
      <c r="AL859" s="147"/>
      <c r="AM859" s="147"/>
      <c r="AN859" s="147"/>
    </row>
    <row r="860" spans="1:40" ht="12.75" customHeight="1">
      <c r="A860" s="147"/>
      <c r="B860" s="147"/>
      <c r="C860" s="147"/>
      <c r="D860" s="146"/>
      <c r="E860" s="146"/>
      <c r="F860" s="146"/>
      <c r="G860" s="146"/>
      <c r="H860" s="155"/>
      <c r="I860" s="151"/>
      <c r="J860" s="152"/>
      <c r="K860" s="156"/>
      <c r="L860" s="253"/>
      <c r="M860" s="145"/>
      <c r="N860" s="157"/>
      <c r="O860" s="158"/>
      <c r="P860" s="145"/>
      <c r="Q860" s="145"/>
      <c r="R860" s="145"/>
      <c r="S860" s="160"/>
      <c r="T860" s="161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  <c r="AE860" s="147"/>
      <c r="AF860" s="147"/>
      <c r="AG860" s="147"/>
      <c r="AH860" s="147"/>
      <c r="AI860" s="147"/>
      <c r="AJ860" s="147"/>
      <c r="AK860" s="147"/>
      <c r="AL860" s="147"/>
      <c r="AM860" s="147"/>
      <c r="AN860" s="147"/>
    </row>
    <row r="861" spans="1:40" ht="12.75" customHeight="1">
      <c r="A861" s="147"/>
      <c r="B861" s="147"/>
      <c r="C861" s="147"/>
      <c r="D861" s="146"/>
      <c r="E861" s="146"/>
      <c r="F861" s="146"/>
      <c r="G861" s="146"/>
      <c r="H861" s="155"/>
      <c r="I861" s="151"/>
      <c r="J861" s="152"/>
      <c r="K861" s="156"/>
      <c r="L861" s="253"/>
      <c r="M861" s="145"/>
      <c r="N861" s="157"/>
      <c r="O861" s="158"/>
      <c r="P861" s="145"/>
      <c r="Q861" s="145"/>
      <c r="R861" s="145"/>
      <c r="S861" s="160"/>
      <c r="T861" s="161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  <c r="AE861" s="147"/>
      <c r="AF861" s="147"/>
      <c r="AG861" s="147"/>
      <c r="AH861" s="147"/>
      <c r="AI861" s="147"/>
      <c r="AJ861" s="147"/>
      <c r="AK861" s="147"/>
      <c r="AL861" s="147"/>
      <c r="AM861" s="147"/>
      <c r="AN861" s="147"/>
    </row>
    <row r="862" spans="1:40" ht="12.75" customHeight="1">
      <c r="A862" s="147"/>
      <c r="B862" s="147"/>
      <c r="C862" s="147"/>
      <c r="D862" s="146"/>
      <c r="E862" s="146"/>
      <c r="F862" s="146"/>
      <c r="G862" s="146"/>
      <c r="H862" s="155"/>
      <c r="I862" s="151"/>
      <c r="J862" s="152"/>
      <c r="K862" s="156"/>
      <c r="L862" s="253"/>
      <c r="M862" s="145"/>
      <c r="N862" s="157"/>
      <c r="O862" s="158"/>
      <c r="P862" s="145"/>
      <c r="Q862" s="145"/>
      <c r="R862" s="145"/>
      <c r="S862" s="160"/>
      <c r="T862" s="161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  <c r="AE862" s="147"/>
      <c r="AF862" s="147"/>
      <c r="AG862" s="147"/>
      <c r="AH862" s="147"/>
      <c r="AI862" s="147"/>
      <c r="AJ862" s="147"/>
      <c r="AK862" s="147"/>
      <c r="AL862" s="147"/>
      <c r="AM862" s="147"/>
      <c r="AN862" s="147"/>
    </row>
    <row r="863" spans="1:40" ht="12.75" customHeight="1">
      <c r="A863" s="147"/>
      <c r="B863" s="147"/>
      <c r="C863" s="147"/>
      <c r="D863" s="146"/>
      <c r="E863" s="146"/>
      <c r="F863" s="146"/>
      <c r="G863" s="146"/>
      <c r="H863" s="155"/>
      <c r="I863" s="151"/>
      <c r="J863" s="152"/>
      <c r="K863" s="156"/>
      <c r="L863" s="253"/>
      <c r="M863" s="145"/>
      <c r="N863" s="157"/>
      <c r="O863" s="158"/>
      <c r="P863" s="145"/>
      <c r="Q863" s="145"/>
      <c r="R863" s="145"/>
      <c r="S863" s="160"/>
      <c r="T863" s="161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  <c r="AE863" s="147"/>
      <c r="AF863" s="147"/>
      <c r="AG863" s="147"/>
      <c r="AH863" s="147"/>
      <c r="AI863" s="147"/>
      <c r="AJ863" s="147"/>
      <c r="AK863" s="147"/>
      <c r="AL863" s="147"/>
      <c r="AM863" s="147"/>
      <c r="AN863" s="147"/>
    </row>
    <row r="864" spans="1:40" ht="12.75" customHeight="1">
      <c r="A864" s="147"/>
      <c r="B864" s="147"/>
      <c r="C864" s="147"/>
      <c r="D864" s="146"/>
      <c r="E864" s="146"/>
      <c r="F864" s="146"/>
      <c r="G864" s="146"/>
      <c r="H864" s="155"/>
      <c r="I864" s="151"/>
      <c r="J864" s="152"/>
      <c r="K864" s="156"/>
      <c r="L864" s="253"/>
      <c r="M864" s="145"/>
      <c r="N864" s="157"/>
      <c r="O864" s="158"/>
      <c r="P864" s="145"/>
      <c r="Q864" s="145"/>
      <c r="R864" s="145"/>
      <c r="S864" s="160"/>
      <c r="T864" s="161"/>
      <c r="U864" s="147"/>
      <c r="V864" s="147"/>
      <c r="W864" s="147"/>
      <c r="X864" s="147"/>
      <c r="Y864" s="147"/>
      <c r="Z864" s="147"/>
      <c r="AA864" s="147"/>
      <c r="AB864" s="147"/>
      <c r="AC864" s="147"/>
      <c r="AD864" s="147"/>
      <c r="AE864" s="147"/>
      <c r="AF864" s="147"/>
      <c r="AG864" s="147"/>
      <c r="AH864" s="147"/>
      <c r="AI864" s="147"/>
      <c r="AJ864" s="147"/>
      <c r="AK864" s="147"/>
      <c r="AL864" s="147"/>
      <c r="AM864" s="147"/>
      <c r="AN864" s="147"/>
    </row>
    <row r="865" spans="1:40" ht="12.75" customHeight="1">
      <c r="A865" s="147"/>
      <c r="B865" s="147"/>
      <c r="C865" s="147"/>
      <c r="D865" s="146"/>
      <c r="E865" s="146"/>
      <c r="F865" s="146"/>
      <c r="G865" s="146"/>
      <c r="H865" s="155"/>
      <c r="I865" s="151"/>
      <c r="J865" s="152"/>
      <c r="K865" s="156"/>
      <c r="L865" s="253"/>
      <c r="M865" s="145"/>
      <c r="N865" s="157"/>
      <c r="O865" s="158"/>
      <c r="P865" s="145"/>
      <c r="Q865" s="145"/>
      <c r="R865" s="145"/>
      <c r="S865" s="160"/>
      <c r="T865" s="161"/>
      <c r="U865" s="147"/>
      <c r="V865" s="147"/>
      <c r="W865" s="147"/>
      <c r="X865" s="147"/>
      <c r="Y865" s="147"/>
      <c r="Z865" s="147"/>
      <c r="AA865" s="147"/>
      <c r="AB865" s="147"/>
      <c r="AC865" s="147"/>
      <c r="AD865" s="147"/>
      <c r="AE865" s="147"/>
      <c r="AF865" s="147"/>
      <c r="AG865" s="147"/>
      <c r="AH865" s="147"/>
      <c r="AI865" s="147"/>
      <c r="AJ865" s="147"/>
      <c r="AK865" s="147"/>
      <c r="AL865" s="147"/>
      <c r="AM865" s="147"/>
      <c r="AN865" s="147"/>
    </row>
    <row r="866" spans="1:40" ht="12.75" customHeight="1">
      <c r="A866" s="147"/>
      <c r="B866" s="147"/>
      <c r="C866" s="147"/>
      <c r="D866" s="146"/>
      <c r="E866" s="146"/>
      <c r="F866" s="146"/>
      <c r="G866" s="146"/>
      <c r="H866" s="155"/>
      <c r="I866" s="151"/>
      <c r="J866" s="152"/>
      <c r="K866" s="156"/>
      <c r="L866" s="253"/>
      <c r="M866" s="145"/>
      <c r="N866" s="157"/>
      <c r="O866" s="158"/>
      <c r="P866" s="145"/>
      <c r="Q866" s="145"/>
      <c r="R866" s="145"/>
      <c r="S866" s="160"/>
      <c r="T866" s="161"/>
      <c r="U866" s="147"/>
      <c r="V866" s="147"/>
      <c r="W866" s="147"/>
      <c r="X866" s="147"/>
      <c r="Y866" s="147"/>
      <c r="Z866" s="147"/>
      <c r="AA866" s="147"/>
      <c r="AB866" s="147"/>
      <c r="AC866" s="147"/>
      <c r="AD866" s="147"/>
      <c r="AE866" s="147"/>
      <c r="AF866" s="147"/>
      <c r="AG866" s="147"/>
      <c r="AH866" s="147"/>
      <c r="AI866" s="147"/>
      <c r="AJ866" s="147"/>
      <c r="AK866" s="147"/>
      <c r="AL866" s="147"/>
      <c r="AM866" s="147"/>
      <c r="AN866" s="147"/>
    </row>
    <row r="867" spans="1:40" ht="12.75" customHeight="1">
      <c r="A867" s="147"/>
      <c r="B867" s="147"/>
      <c r="C867" s="147"/>
      <c r="D867" s="146"/>
      <c r="E867" s="146"/>
      <c r="F867" s="146"/>
      <c r="G867" s="146"/>
      <c r="H867" s="155"/>
      <c r="I867" s="151"/>
      <c r="J867" s="152"/>
      <c r="K867" s="156"/>
      <c r="L867" s="253"/>
      <c r="M867" s="145"/>
      <c r="N867" s="157"/>
      <c r="O867" s="158"/>
      <c r="P867" s="145"/>
      <c r="Q867" s="145"/>
      <c r="R867" s="145"/>
      <c r="S867" s="160"/>
      <c r="T867" s="161"/>
      <c r="U867" s="147"/>
      <c r="V867" s="147"/>
      <c r="W867" s="147"/>
      <c r="X867" s="147"/>
      <c r="Y867" s="147"/>
      <c r="Z867" s="147"/>
      <c r="AA867" s="147"/>
      <c r="AB867" s="147"/>
      <c r="AC867" s="147"/>
      <c r="AD867" s="147"/>
      <c r="AE867" s="147"/>
      <c r="AF867" s="147"/>
      <c r="AG867" s="147"/>
      <c r="AH867" s="147"/>
      <c r="AI867" s="147"/>
      <c r="AJ867" s="147"/>
      <c r="AK867" s="147"/>
      <c r="AL867" s="147"/>
      <c r="AM867" s="147"/>
      <c r="AN867" s="147"/>
    </row>
    <row r="868" spans="1:40" ht="12.75" customHeight="1">
      <c r="A868" s="147"/>
      <c r="B868" s="147"/>
      <c r="C868" s="147"/>
      <c r="D868" s="146"/>
      <c r="E868" s="146"/>
      <c r="F868" s="146"/>
      <c r="G868" s="146"/>
      <c r="H868" s="155"/>
      <c r="I868" s="151"/>
      <c r="J868" s="152"/>
      <c r="K868" s="156"/>
      <c r="L868" s="253"/>
      <c r="M868" s="145"/>
      <c r="N868" s="157"/>
      <c r="O868" s="158"/>
      <c r="P868" s="145"/>
      <c r="Q868" s="145"/>
      <c r="R868" s="145"/>
      <c r="S868" s="160"/>
      <c r="T868" s="161"/>
      <c r="U868" s="147"/>
      <c r="V868" s="147"/>
      <c r="W868" s="147"/>
      <c r="X868" s="147"/>
      <c r="Y868" s="147"/>
      <c r="Z868" s="147"/>
      <c r="AA868" s="147"/>
      <c r="AB868" s="147"/>
      <c r="AC868" s="147"/>
      <c r="AD868" s="147"/>
      <c r="AE868" s="147"/>
      <c r="AF868" s="147"/>
      <c r="AG868" s="147"/>
      <c r="AH868" s="147"/>
      <c r="AI868" s="147"/>
      <c r="AJ868" s="147"/>
      <c r="AK868" s="147"/>
      <c r="AL868" s="147"/>
      <c r="AM868" s="147"/>
      <c r="AN868" s="147"/>
    </row>
    <row r="869" spans="1:40" ht="12.75" customHeight="1">
      <c r="A869" s="147"/>
      <c r="B869" s="147"/>
      <c r="C869" s="147"/>
      <c r="D869" s="146"/>
      <c r="E869" s="146"/>
      <c r="F869" s="146"/>
      <c r="G869" s="146"/>
      <c r="H869" s="155"/>
      <c r="I869" s="151"/>
      <c r="J869" s="152"/>
      <c r="K869" s="156"/>
      <c r="L869" s="253"/>
      <c r="M869" s="145"/>
      <c r="N869" s="157"/>
      <c r="O869" s="158"/>
      <c r="P869" s="145"/>
      <c r="Q869" s="145"/>
      <c r="R869" s="145"/>
      <c r="S869" s="160"/>
      <c r="T869" s="161"/>
      <c r="U869" s="147"/>
      <c r="V869" s="147"/>
      <c r="W869" s="147"/>
      <c r="X869" s="147"/>
      <c r="Y869" s="147"/>
      <c r="Z869" s="147"/>
      <c r="AA869" s="147"/>
      <c r="AB869" s="147"/>
      <c r="AC869" s="147"/>
      <c r="AD869" s="147"/>
      <c r="AE869" s="147"/>
      <c r="AF869" s="147"/>
      <c r="AG869" s="147"/>
      <c r="AH869" s="147"/>
      <c r="AI869" s="147"/>
      <c r="AJ869" s="147"/>
      <c r="AK869" s="147"/>
      <c r="AL869" s="147"/>
      <c r="AM869" s="147"/>
      <c r="AN869" s="147"/>
    </row>
    <row r="870" spans="1:40" ht="12.75" customHeight="1">
      <c r="A870" s="147"/>
      <c r="B870" s="147"/>
      <c r="C870" s="147"/>
      <c r="D870" s="146"/>
      <c r="E870" s="146"/>
      <c r="F870" s="146"/>
      <c r="G870" s="146"/>
      <c r="H870" s="155"/>
      <c r="I870" s="151"/>
      <c r="J870" s="152"/>
      <c r="K870" s="156"/>
      <c r="L870" s="253"/>
      <c r="M870" s="145"/>
      <c r="N870" s="157"/>
      <c r="O870" s="158"/>
      <c r="P870" s="145"/>
      <c r="Q870" s="145"/>
      <c r="R870" s="145"/>
      <c r="S870" s="160"/>
      <c r="T870" s="161"/>
      <c r="U870" s="147"/>
      <c r="V870" s="147"/>
      <c r="W870" s="147"/>
      <c r="X870" s="147"/>
      <c r="Y870" s="147"/>
      <c r="Z870" s="147"/>
      <c r="AA870" s="147"/>
      <c r="AB870" s="147"/>
      <c r="AC870" s="147"/>
      <c r="AD870" s="147"/>
      <c r="AE870" s="147"/>
      <c r="AF870" s="147"/>
      <c r="AG870" s="147"/>
      <c r="AH870" s="147"/>
      <c r="AI870" s="147"/>
      <c r="AJ870" s="147"/>
      <c r="AK870" s="147"/>
      <c r="AL870" s="147"/>
      <c r="AM870" s="147"/>
      <c r="AN870" s="147"/>
    </row>
    <row r="871" spans="1:40" ht="12.75" customHeight="1">
      <c r="A871" s="147"/>
      <c r="B871" s="147"/>
      <c r="C871" s="147"/>
      <c r="D871" s="146"/>
      <c r="E871" s="146"/>
      <c r="F871" s="146"/>
      <c r="G871" s="146"/>
      <c r="H871" s="155"/>
      <c r="I871" s="151"/>
      <c r="J871" s="152"/>
      <c r="K871" s="156"/>
      <c r="L871" s="253"/>
      <c r="M871" s="145"/>
      <c r="N871" s="157"/>
      <c r="O871" s="158"/>
      <c r="P871" s="145"/>
      <c r="Q871" s="145"/>
      <c r="R871" s="145"/>
      <c r="S871" s="160"/>
      <c r="T871" s="161"/>
      <c r="U871" s="147"/>
      <c r="V871" s="147"/>
      <c r="W871" s="147"/>
      <c r="X871" s="147"/>
      <c r="Y871" s="147"/>
      <c r="Z871" s="147"/>
      <c r="AA871" s="147"/>
      <c r="AB871" s="147"/>
      <c r="AC871" s="147"/>
      <c r="AD871" s="147"/>
      <c r="AE871" s="147"/>
      <c r="AF871" s="147"/>
      <c r="AG871" s="147"/>
      <c r="AH871" s="147"/>
      <c r="AI871" s="147"/>
      <c r="AJ871" s="147"/>
      <c r="AK871" s="147"/>
      <c r="AL871" s="147"/>
      <c r="AM871" s="147"/>
      <c r="AN871" s="147"/>
    </row>
    <row r="872" spans="1:40" ht="12.75" customHeight="1">
      <c r="A872" s="147"/>
      <c r="B872" s="147"/>
      <c r="C872" s="147"/>
      <c r="D872" s="146"/>
      <c r="E872" s="146"/>
      <c r="F872" s="146"/>
      <c r="G872" s="146"/>
      <c r="H872" s="155"/>
      <c r="I872" s="151"/>
      <c r="J872" s="152"/>
      <c r="K872" s="156"/>
      <c r="L872" s="253"/>
      <c r="M872" s="145"/>
      <c r="N872" s="157"/>
      <c r="O872" s="158"/>
      <c r="P872" s="145"/>
      <c r="Q872" s="145"/>
      <c r="R872" s="145"/>
      <c r="S872" s="160"/>
      <c r="T872" s="161"/>
      <c r="U872" s="147"/>
      <c r="V872" s="147"/>
      <c r="W872" s="147"/>
      <c r="X872" s="147"/>
      <c r="Y872" s="147"/>
      <c r="Z872" s="147"/>
      <c r="AA872" s="147"/>
      <c r="AB872" s="147"/>
      <c r="AC872" s="147"/>
      <c r="AD872" s="147"/>
      <c r="AE872" s="147"/>
      <c r="AF872" s="147"/>
      <c r="AG872" s="147"/>
      <c r="AH872" s="147"/>
      <c r="AI872" s="147"/>
      <c r="AJ872" s="147"/>
      <c r="AK872" s="147"/>
      <c r="AL872" s="147"/>
      <c r="AM872" s="147"/>
      <c r="AN872" s="147"/>
    </row>
    <row r="873" spans="1:40" ht="12.75" customHeight="1">
      <c r="A873" s="147"/>
      <c r="B873" s="147"/>
      <c r="C873" s="147"/>
      <c r="D873" s="146"/>
      <c r="E873" s="146"/>
      <c r="F873" s="146"/>
      <c r="G873" s="146"/>
      <c r="H873" s="155"/>
      <c r="I873" s="151"/>
      <c r="J873" s="152"/>
      <c r="K873" s="156"/>
      <c r="L873" s="253"/>
      <c r="M873" s="145"/>
      <c r="N873" s="157"/>
      <c r="O873" s="158"/>
      <c r="P873" s="145"/>
      <c r="Q873" s="145"/>
      <c r="R873" s="145"/>
      <c r="S873" s="160"/>
      <c r="T873" s="161"/>
      <c r="U873" s="147"/>
      <c r="V873" s="147"/>
      <c r="W873" s="147"/>
      <c r="X873" s="147"/>
      <c r="Y873" s="147"/>
      <c r="Z873" s="147"/>
      <c r="AA873" s="147"/>
      <c r="AB873" s="147"/>
      <c r="AC873" s="147"/>
      <c r="AD873" s="147"/>
      <c r="AE873" s="147"/>
      <c r="AF873" s="147"/>
      <c r="AG873" s="147"/>
      <c r="AH873" s="147"/>
      <c r="AI873" s="147"/>
      <c r="AJ873" s="147"/>
      <c r="AK873" s="147"/>
      <c r="AL873" s="147"/>
      <c r="AM873" s="147"/>
      <c r="AN873" s="147"/>
    </row>
    <row r="874" spans="1:40" ht="12.75" customHeight="1">
      <c r="A874" s="147"/>
      <c r="B874" s="147"/>
      <c r="C874" s="147"/>
      <c r="D874" s="146"/>
      <c r="E874" s="146"/>
      <c r="F874" s="146"/>
      <c r="G874" s="146"/>
      <c r="H874" s="155"/>
      <c r="I874" s="151"/>
      <c r="J874" s="152"/>
      <c r="K874" s="156"/>
      <c r="L874" s="253"/>
      <c r="M874" s="145"/>
      <c r="N874" s="157"/>
      <c r="O874" s="158"/>
      <c r="P874" s="145"/>
      <c r="Q874" s="145"/>
      <c r="R874" s="145"/>
      <c r="S874" s="160"/>
      <c r="T874" s="161"/>
      <c r="U874" s="147"/>
      <c r="V874" s="147"/>
      <c r="W874" s="147"/>
      <c r="X874" s="147"/>
      <c r="Y874" s="147"/>
      <c r="Z874" s="147"/>
      <c r="AA874" s="147"/>
      <c r="AB874" s="147"/>
      <c r="AC874" s="147"/>
      <c r="AD874" s="147"/>
      <c r="AE874" s="147"/>
      <c r="AF874" s="147"/>
      <c r="AG874" s="147"/>
      <c r="AH874" s="147"/>
      <c r="AI874" s="147"/>
      <c r="AJ874" s="147"/>
      <c r="AK874" s="147"/>
      <c r="AL874" s="147"/>
      <c r="AM874" s="147"/>
      <c r="AN874" s="147"/>
    </row>
    <row r="875" spans="1:40" ht="12.75" customHeight="1">
      <c r="A875" s="147"/>
      <c r="B875" s="147"/>
      <c r="C875" s="147"/>
      <c r="D875" s="146"/>
      <c r="E875" s="146"/>
      <c r="F875" s="146"/>
      <c r="G875" s="146"/>
      <c r="H875" s="155"/>
      <c r="I875" s="151"/>
      <c r="J875" s="152"/>
      <c r="K875" s="156"/>
      <c r="L875" s="253"/>
      <c r="M875" s="145"/>
      <c r="N875" s="157"/>
      <c r="O875" s="158"/>
      <c r="P875" s="145"/>
      <c r="Q875" s="145"/>
      <c r="R875" s="145"/>
      <c r="S875" s="160"/>
      <c r="T875" s="161"/>
      <c r="U875" s="147"/>
      <c r="V875" s="147"/>
      <c r="W875" s="147"/>
      <c r="X875" s="147"/>
      <c r="Y875" s="147"/>
      <c r="Z875" s="147"/>
      <c r="AA875" s="147"/>
      <c r="AB875" s="147"/>
      <c r="AC875" s="147"/>
      <c r="AD875" s="147"/>
      <c r="AE875" s="147"/>
      <c r="AF875" s="147"/>
      <c r="AG875" s="147"/>
      <c r="AH875" s="147"/>
      <c r="AI875" s="147"/>
      <c r="AJ875" s="147"/>
      <c r="AK875" s="147"/>
      <c r="AL875" s="147"/>
      <c r="AM875" s="147"/>
      <c r="AN875" s="147"/>
    </row>
    <row r="876" spans="1:40" ht="12.75" customHeight="1">
      <c r="A876" s="147"/>
      <c r="B876" s="147"/>
      <c r="C876" s="147"/>
      <c r="D876" s="146"/>
      <c r="E876" s="146"/>
      <c r="F876" s="146"/>
      <c r="G876" s="146"/>
      <c r="H876" s="155"/>
      <c r="I876" s="151"/>
      <c r="J876" s="152"/>
      <c r="K876" s="156"/>
      <c r="L876" s="253"/>
      <c r="M876" s="145"/>
      <c r="N876" s="157"/>
      <c r="O876" s="158"/>
      <c r="P876" s="145"/>
      <c r="Q876" s="145"/>
      <c r="R876" s="145"/>
      <c r="S876" s="160"/>
      <c r="T876" s="161"/>
      <c r="U876" s="147"/>
      <c r="V876" s="147"/>
      <c r="W876" s="147"/>
      <c r="X876" s="147"/>
      <c r="Y876" s="147"/>
      <c r="Z876" s="147"/>
      <c r="AA876" s="147"/>
      <c r="AB876" s="147"/>
      <c r="AC876" s="147"/>
      <c r="AD876" s="147"/>
      <c r="AE876" s="147"/>
      <c r="AF876" s="147"/>
      <c r="AG876" s="147"/>
      <c r="AH876" s="147"/>
      <c r="AI876" s="147"/>
      <c r="AJ876" s="147"/>
      <c r="AK876" s="147"/>
      <c r="AL876" s="147"/>
      <c r="AM876" s="147"/>
      <c r="AN876" s="147"/>
    </row>
    <row r="877" spans="1:40" ht="12.75" customHeight="1">
      <c r="A877" s="147"/>
      <c r="B877" s="147"/>
      <c r="C877" s="147"/>
      <c r="D877" s="146"/>
      <c r="E877" s="146"/>
      <c r="F877" s="146"/>
      <c r="G877" s="146"/>
      <c r="H877" s="155"/>
      <c r="I877" s="151"/>
      <c r="J877" s="152"/>
      <c r="K877" s="156"/>
      <c r="L877" s="253"/>
      <c r="M877" s="145"/>
      <c r="N877" s="157"/>
      <c r="O877" s="158"/>
      <c r="P877" s="145"/>
      <c r="Q877" s="145"/>
      <c r="R877" s="145"/>
      <c r="S877" s="160"/>
      <c r="T877" s="161"/>
      <c r="U877" s="147"/>
      <c r="V877" s="147"/>
      <c r="W877" s="147"/>
      <c r="X877" s="147"/>
      <c r="Y877" s="147"/>
      <c r="Z877" s="147"/>
      <c r="AA877" s="147"/>
      <c r="AB877" s="147"/>
      <c r="AC877" s="147"/>
      <c r="AD877" s="147"/>
      <c r="AE877" s="147"/>
      <c r="AF877" s="147"/>
      <c r="AG877" s="147"/>
      <c r="AH877" s="147"/>
      <c r="AI877" s="147"/>
      <c r="AJ877" s="147"/>
      <c r="AK877" s="147"/>
      <c r="AL877" s="147"/>
      <c r="AM877" s="147"/>
      <c r="AN877" s="147"/>
    </row>
    <row r="878" spans="1:40" ht="12.75" customHeight="1">
      <c r="A878" s="147"/>
      <c r="B878" s="147"/>
      <c r="C878" s="147"/>
      <c r="D878" s="146"/>
      <c r="E878" s="146"/>
      <c r="F878" s="146"/>
      <c r="G878" s="146"/>
      <c r="H878" s="155"/>
      <c r="I878" s="151"/>
      <c r="J878" s="152"/>
      <c r="K878" s="156"/>
      <c r="L878" s="253"/>
      <c r="M878" s="145"/>
      <c r="N878" s="157"/>
      <c r="O878" s="158"/>
      <c r="P878" s="145"/>
      <c r="Q878" s="145"/>
      <c r="R878" s="145"/>
      <c r="S878" s="160"/>
      <c r="T878" s="161"/>
      <c r="U878" s="147"/>
      <c r="V878" s="147"/>
      <c r="W878" s="147"/>
      <c r="X878" s="147"/>
      <c r="Y878" s="147"/>
      <c r="Z878" s="147"/>
      <c r="AA878" s="147"/>
      <c r="AB878" s="147"/>
      <c r="AC878" s="147"/>
      <c r="AD878" s="147"/>
      <c r="AE878" s="147"/>
      <c r="AF878" s="147"/>
      <c r="AG878" s="147"/>
      <c r="AH878" s="147"/>
      <c r="AI878" s="147"/>
      <c r="AJ878" s="147"/>
      <c r="AK878" s="147"/>
      <c r="AL878" s="147"/>
      <c r="AM878" s="147"/>
      <c r="AN878" s="147"/>
    </row>
    <row r="879" spans="1:40" ht="12.75" customHeight="1">
      <c r="A879" s="147"/>
      <c r="B879" s="147"/>
      <c r="C879" s="147"/>
      <c r="D879" s="146"/>
      <c r="E879" s="146"/>
      <c r="F879" s="146"/>
      <c r="G879" s="146"/>
      <c r="H879" s="155"/>
      <c r="I879" s="151"/>
      <c r="J879" s="152"/>
      <c r="K879" s="156"/>
      <c r="L879" s="253"/>
      <c r="M879" s="145"/>
      <c r="N879" s="157"/>
      <c r="O879" s="158"/>
      <c r="P879" s="145"/>
      <c r="Q879" s="145"/>
      <c r="R879" s="145"/>
      <c r="S879" s="160"/>
      <c r="T879" s="161"/>
      <c r="U879" s="147"/>
      <c r="V879" s="147"/>
      <c r="W879" s="147"/>
      <c r="X879" s="147"/>
      <c r="Y879" s="147"/>
      <c r="Z879" s="147"/>
      <c r="AA879" s="147"/>
      <c r="AB879" s="147"/>
      <c r="AC879" s="147"/>
      <c r="AD879" s="147"/>
      <c r="AE879" s="147"/>
      <c r="AF879" s="147"/>
      <c r="AG879" s="147"/>
      <c r="AH879" s="147"/>
      <c r="AI879" s="147"/>
      <c r="AJ879" s="147"/>
      <c r="AK879" s="147"/>
      <c r="AL879" s="147"/>
      <c r="AM879" s="147"/>
      <c r="AN879" s="147"/>
    </row>
    <row r="880" spans="1:40" ht="12.75" customHeight="1">
      <c r="A880" s="147"/>
      <c r="B880" s="147"/>
      <c r="C880" s="147"/>
      <c r="D880" s="146"/>
      <c r="E880" s="146"/>
      <c r="F880" s="146"/>
      <c r="G880" s="146"/>
      <c r="H880" s="155"/>
      <c r="I880" s="151"/>
      <c r="J880" s="152"/>
      <c r="K880" s="156"/>
      <c r="L880" s="253"/>
      <c r="M880" s="145"/>
      <c r="N880" s="157"/>
      <c r="O880" s="158"/>
      <c r="P880" s="145"/>
      <c r="Q880" s="145"/>
      <c r="R880" s="145"/>
      <c r="S880" s="160"/>
      <c r="T880" s="161"/>
      <c r="U880" s="147"/>
      <c r="V880" s="147"/>
      <c r="W880" s="147"/>
      <c r="X880" s="147"/>
      <c r="Y880" s="147"/>
      <c r="Z880" s="147"/>
      <c r="AA880" s="147"/>
      <c r="AB880" s="147"/>
      <c r="AC880" s="147"/>
      <c r="AD880" s="147"/>
      <c r="AE880" s="147"/>
      <c r="AF880" s="147"/>
      <c r="AG880" s="147"/>
      <c r="AH880" s="147"/>
      <c r="AI880" s="147"/>
      <c r="AJ880" s="147"/>
      <c r="AK880" s="147"/>
      <c r="AL880" s="147"/>
      <c r="AM880" s="147"/>
      <c r="AN880" s="147"/>
    </row>
    <row r="881" spans="1:40" ht="12.75" customHeight="1">
      <c r="A881" s="147"/>
      <c r="B881" s="147"/>
      <c r="C881" s="147"/>
      <c r="D881" s="146"/>
      <c r="E881" s="146"/>
      <c r="F881" s="146"/>
      <c r="G881" s="146"/>
      <c r="H881" s="155"/>
      <c r="I881" s="151"/>
      <c r="J881" s="152"/>
      <c r="K881" s="156"/>
      <c r="L881" s="253"/>
      <c r="M881" s="145"/>
      <c r="N881" s="157"/>
      <c r="O881" s="158"/>
      <c r="P881" s="145"/>
      <c r="Q881" s="145"/>
      <c r="R881" s="145"/>
      <c r="S881" s="160"/>
      <c r="T881" s="161"/>
      <c r="U881" s="147"/>
      <c r="V881" s="147"/>
      <c r="W881" s="147"/>
      <c r="X881" s="147"/>
      <c r="Y881" s="147"/>
      <c r="Z881" s="147"/>
      <c r="AA881" s="147"/>
      <c r="AB881" s="147"/>
      <c r="AC881" s="147"/>
      <c r="AD881" s="147"/>
      <c r="AE881" s="147"/>
      <c r="AF881" s="147"/>
      <c r="AG881" s="147"/>
      <c r="AH881" s="147"/>
      <c r="AI881" s="147"/>
      <c r="AJ881" s="147"/>
      <c r="AK881" s="147"/>
      <c r="AL881" s="147"/>
      <c r="AM881" s="147"/>
      <c r="AN881" s="147"/>
    </row>
    <row r="882" spans="1:40" ht="12.75" customHeight="1">
      <c r="A882" s="147"/>
      <c r="B882" s="147"/>
      <c r="C882" s="147"/>
      <c r="D882" s="146"/>
      <c r="E882" s="146"/>
      <c r="F882" s="146"/>
      <c r="G882" s="146"/>
      <c r="H882" s="155"/>
      <c r="I882" s="151"/>
      <c r="J882" s="152"/>
      <c r="K882" s="156"/>
      <c r="L882" s="253"/>
      <c r="M882" s="145"/>
      <c r="N882" s="157"/>
      <c r="O882" s="158"/>
      <c r="P882" s="145"/>
      <c r="Q882" s="145"/>
      <c r="R882" s="145"/>
      <c r="S882" s="160"/>
      <c r="T882" s="161"/>
      <c r="U882" s="147"/>
      <c r="V882" s="147"/>
      <c r="W882" s="147"/>
      <c r="X882" s="147"/>
      <c r="Y882" s="147"/>
      <c r="Z882" s="147"/>
      <c r="AA882" s="147"/>
      <c r="AB882" s="147"/>
      <c r="AC882" s="147"/>
      <c r="AD882" s="147"/>
      <c r="AE882" s="147"/>
      <c r="AF882" s="147"/>
      <c r="AG882" s="147"/>
      <c r="AH882" s="147"/>
      <c r="AI882" s="147"/>
      <c r="AJ882" s="147"/>
      <c r="AK882" s="147"/>
      <c r="AL882" s="147"/>
      <c r="AM882" s="147"/>
      <c r="AN882" s="147"/>
    </row>
    <row r="883" spans="1:40" ht="12.75" customHeight="1">
      <c r="A883" s="147"/>
      <c r="B883" s="147"/>
      <c r="C883" s="147"/>
      <c r="D883" s="146"/>
      <c r="E883" s="146"/>
      <c r="F883" s="146"/>
      <c r="G883" s="146"/>
      <c r="H883" s="155"/>
      <c r="I883" s="151"/>
      <c r="J883" s="152"/>
      <c r="K883" s="156"/>
      <c r="L883" s="253"/>
      <c r="M883" s="145"/>
      <c r="N883" s="145"/>
      <c r="O883" s="158"/>
      <c r="P883" s="145"/>
      <c r="Q883" s="145"/>
      <c r="R883" s="145"/>
      <c r="S883" s="160"/>
      <c r="T883" s="161"/>
      <c r="U883" s="147"/>
      <c r="V883" s="147"/>
      <c r="W883" s="147"/>
      <c r="X883" s="147"/>
      <c r="Y883" s="147"/>
      <c r="Z883" s="147"/>
      <c r="AA883" s="147"/>
      <c r="AB883" s="147"/>
      <c r="AC883" s="147"/>
      <c r="AD883" s="147"/>
      <c r="AE883" s="147"/>
      <c r="AF883" s="147"/>
      <c r="AG883" s="147"/>
      <c r="AH883" s="147"/>
      <c r="AI883" s="147"/>
      <c r="AJ883" s="147"/>
      <c r="AK883" s="147"/>
      <c r="AL883" s="147"/>
      <c r="AM883" s="147"/>
      <c r="AN883" s="147"/>
    </row>
    <row r="884" spans="1:40" ht="12.75" customHeight="1">
      <c r="A884" s="147"/>
      <c r="B884" s="147"/>
      <c r="C884" s="147"/>
      <c r="D884" s="146"/>
      <c r="E884" s="146"/>
      <c r="F884" s="146"/>
      <c r="G884" s="146"/>
      <c r="H884" s="155"/>
      <c r="I884" s="151"/>
      <c r="J884" s="152"/>
      <c r="K884" s="156"/>
      <c r="L884" s="253"/>
      <c r="M884" s="145"/>
      <c r="N884" s="145"/>
      <c r="O884" s="158"/>
      <c r="P884" s="145"/>
      <c r="Q884" s="145"/>
      <c r="R884" s="145"/>
      <c r="S884" s="160"/>
      <c r="T884" s="161"/>
      <c r="U884" s="147"/>
      <c r="V884" s="147"/>
      <c r="W884" s="147"/>
      <c r="X884" s="147"/>
      <c r="Y884" s="147"/>
      <c r="Z884" s="147"/>
      <c r="AA884" s="147"/>
      <c r="AB884" s="147"/>
      <c r="AC884" s="147"/>
      <c r="AD884" s="147"/>
      <c r="AE884" s="147"/>
      <c r="AF884" s="147"/>
      <c r="AG884" s="147"/>
      <c r="AH884" s="147"/>
      <c r="AI884" s="147"/>
      <c r="AJ884" s="147"/>
      <c r="AK884" s="147"/>
      <c r="AL884" s="147"/>
      <c r="AM884" s="147"/>
      <c r="AN884" s="147"/>
    </row>
    <row r="885" spans="1:40" ht="12.75" customHeight="1">
      <c r="A885" s="147"/>
      <c r="B885" s="147"/>
      <c r="C885" s="147"/>
      <c r="D885" s="146"/>
      <c r="E885" s="146"/>
      <c r="F885" s="146"/>
      <c r="G885" s="146"/>
      <c r="H885" s="155"/>
      <c r="I885" s="151"/>
      <c r="J885" s="152"/>
      <c r="K885" s="156"/>
      <c r="L885" s="253"/>
      <c r="M885" s="145"/>
      <c r="N885" s="145"/>
      <c r="O885" s="158"/>
      <c r="P885" s="145"/>
      <c r="Q885" s="145"/>
      <c r="R885" s="145"/>
      <c r="S885" s="160"/>
      <c r="T885" s="161"/>
      <c r="U885" s="147"/>
      <c r="V885" s="147"/>
      <c r="W885" s="147"/>
      <c r="X885" s="147"/>
      <c r="Y885" s="147"/>
      <c r="Z885" s="147"/>
      <c r="AA885" s="147"/>
      <c r="AB885" s="147"/>
      <c r="AC885" s="147"/>
      <c r="AD885" s="147"/>
      <c r="AE885" s="147"/>
      <c r="AF885" s="147"/>
      <c r="AG885" s="147"/>
      <c r="AH885" s="147"/>
      <c r="AI885" s="147"/>
      <c r="AJ885" s="147"/>
      <c r="AK885" s="147"/>
      <c r="AL885" s="147"/>
      <c r="AM885" s="147"/>
      <c r="AN885" s="147"/>
    </row>
    <row r="886" spans="1:40" ht="12.75" customHeight="1">
      <c r="A886" s="147"/>
      <c r="B886" s="147"/>
      <c r="C886" s="147"/>
      <c r="D886" s="146"/>
      <c r="E886" s="146"/>
      <c r="F886" s="146"/>
      <c r="G886" s="146"/>
      <c r="H886" s="155"/>
      <c r="I886" s="151"/>
      <c r="J886" s="152"/>
      <c r="K886" s="156"/>
      <c r="L886" s="253"/>
      <c r="M886" s="145"/>
      <c r="N886" s="145"/>
      <c r="O886" s="158"/>
      <c r="P886" s="145"/>
      <c r="Q886" s="145"/>
      <c r="R886" s="145"/>
      <c r="S886" s="160"/>
      <c r="T886" s="161"/>
      <c r="U886" s="147"/>
      <c r="V886" s="147"/>
      <c r="W886" s="147"/>
      <c r="X886" s="147"/>
      <c r="Y886" s="147"/>
      <c r="Z886" s="147"/>
      <c r="AA886" s="147"/>
      <c r="AB886" s="147"/>
      <c r="AC886" s="147"/>
      <c r="AD886" s="147"/>
      <c r="AE886" s="147"/>
      <c r="AF886" s="147"/>
      <c r="AG886" s="147"/>
      <c r="AH886" s="147"/>
      <c r="AI886" s="147"/>
      <c r="AJ886" s="147"/>
      <c r="AK886" s="147"/>
      <c r="AL886" s="147"/>
      <c r="AM886" s="147"/>
      <c r="AN886" s="147"/>
    </row>
    <row r="887" spans="1:40" ht="12.75" customHeight="1">
      <c r="A887" s="147"/>
      <c r="B887" s="147"/>
      <c r="C887" s="147"/>
      <c r="D887" s="146"/>
      <c r="E887" s="146"/>
      <c r="F887" s="146"/>
      <c r="G887" s="146"/>
      <c r="H887" s="155"/>
      <c r="I887" s="151"/>
      <c r="J887" s="152"/>
      <c r="K887" s="156"/>
      <c r="L887" s="253"/>
      <c r="M887" s="145"/>
      <c r="N887" s="145"/>
      <c r="O887" s="158"/>
      <c r="P887" s="145"/>
      <c r="Q887" s="145"/>
      <c r="R887" s="145"/>
      <c r="S887" s="160"/>
      <c r="T887" s="161"/>
      <c r="U887" s="147"/>
      <c r="V887" s="147"/>
      <c r="W887" s="147"/>
      <c r="X887" s="147"/>
      <c r="Y887" s="147"/>
      <c r="Z887" s="147"/>
      <c r="AA887" s="147"/>
      <c r="AB887" s="147"/>
      <c r="AC887" s="147"/>
      <c r="AD887" s="147"/>
      <c r="AE887" s="147"/>
      <c r="AF887" s="147"/>
      <c r="AG887" s="147"/>
      <c r="AH887" s="147"/>
      <c r="AI887" s="147"/>
      <c r="AJ887" s="147"/>
      <c r="AK887" s="147"/>
      <c r="AL887" s="147"/>
      <c r="AM887" s="147"/>
      <c r="AN887" s="147"/>
    </row>
    <row r="888" spans="1:40" ht="12.75" customHeight="1">
      <c r="A888" s="147"/>
      <c r="B888" s="147"/>
      <c r="C888" s="147"/>
      <c r="D888" s="146"/>
      <c r="E888" s="146"/>
      <c r="F888" s="146"/>
      <c r="G888" s="146"/>
      <c r="H888" s="155"/>
      <c r="I888" s="151"/>
      <c r="J888" s="152"/>
      <c r="K888" s="156"/>
      <c r="L888" s="253"/>
      <c r="M888" s="145"/>
      <c r="N888" s="145"/>
      <c r="O888" s="158"/>
      <c r="P888" s="145"/>
      <c r="Q888" s="145"/>
      <c r="R888" s="145"/>
      <c r="S888" s="160"/>
      <c r="T888" s="161"/>
      <c r="U888" s="147"/>
      <c r="V888" s="147"/>
      <c r="W888" s="147"/>
      <c r="X888" s="147"/>
      <c r="Y888" s="147"/>
      <c r="Z888" s="147"/>
      <c r="AA888" s="147"/>
      <c r="AB888" s="147"/>
      <c r="AC888" s="147"/>
      <c r="AD888" s="147"/>
      <c r="AE888" s="147"/>
      <c r="AF888" s="147"/>
      <c r="AG888" s="147"/>
      <c r="AH888" s="147"/>
      <c r="AI888" s="147"/>
      <c r="AJ888" s="147"/>
      <c r="AK888" s="147"/>
      <c r="AL888" s="147"/>
      <c r="AM888" s="147"/>
      <c r="AN888" s="147"/>
    </row>
    <row r="889" spans="1:40" ht="12.75" customHeight="1">
      <c r="A889" s="147"/>
      <c r="B889" s="147"/>
      <c r="C889" s="147"/>
      <c r="D889" s="146"/>
      <c r="E889" s="146"/>
      <c r="F889" s="146"/>
      <c r="G889" s="146"/>
      <c r="H889" s="155"/>
      <c r="I889" s="151"/>
      <c r="J889" s="152"/>
      <c r="K889" s="156"/>
      <c r="L889" s="253"/>
      <c r="M889" s="145"/>
      <c r="N889" s="145"/>
      <c r="O889" s="158"/>
      <c r="P889" s="145"/>
      <c r="Q889" s="145"/>
      <c r="R889" s="145"/>
      <c r="S889" s="160"/>
      <c r="T889" s="161"/>
      <c r="U889" s="147"/>
      <c r="V889" s="147"/>
      <c r="W889" s="147"/>
      <c r="X889" s="147"/>
      <c r="Y889" s="147"/>
      <c r="Z889" s="147"/>
      <c r="AA889" s="147"/>
      <c r="AB889" s="147"/>
      <c r="AC889" s="147"/>
      <c r="AD889" s="147"/>
      <c r="AE889" s="147"/>
      <c r="AF889" s="147"/>
      <c r="AG889" s="147"/>
      <c r="AH889" s="147"/>
      <c r="AI889" s="147"/>
      <c r="AJ889" s="147"/>
      <c r="AK889" s="147"/>
      <c r="AL889" s="147"/>
      <c r="AM889" s="147"/>
      <c r="AN889" s="147"/>
    </row>
    <row r="890" spans="1:40" ht="12.75" customHeight="1">
      <c r="A890" s="147"/>
      <c r="B890" s="147"/>
      <c r="C890" s="147"/>
      <c r="D890" s="146"/>
      <c r="E890" s="146"/>
      <c r="F890" s="146"/>
      <c r="G890" s="146"/>
      <c r="H890" s="155"/>
      <c r="I890" s="151"/>
      <c r="J890" s="152"/>
      <c r="K890" s="156"/>
      <c r="L890" s="253"/>
      <c r="M890" s="145"/>
      <c r="N890" s="145"/>
      <c r="O890" s="158"/>
      <c r="P890" s="145"/>
      <c r="Q890" s="145"/>
      <c r="R890" s="145"/>
      <c r="S890" s="160"/>
      <c r="T890" s="161"/>
      <c r="U890" s="147"/>
      <c r="V890" s="147"/>
      <c r="W890" s="147"/>
      <c r="X890" s="147"/>
      <c r="Y890" s="147"/>
      <c r="Z890" s="147"/>
      <c r="AA890" s="147"/>
      <c r="AB890" s="147"/>
      <c r="AC890" s="147"/>
      <c r="AD890" s="147"/>
      <c r="AE890" s="147"/>
      <c r="AF890" s="147"/>
      <c r="AG890" s="147"/>
      <c r="AH890" s="147"/>
      <c r="AI890" s="147"/>
      <c r="AJ890" s="147"/>
      <c r="AK890" s="147"/>
      <c r="AL890" s="147"/>
      <c r="AM890" s="147"/>
      <c r="AN890" s="147"/>
    </row>
    <row r="891" spans="1:40" ht="12.75" customHeight="1">
      <c r="A891" s="147"/>
      <c r="B891" s="147"/>
      <c r="C891" s="147"/>
      <c r="D891" s="146"/>
      <c r="E891" s="146"/>
      <c r="F891" s="146"/>
      <c r="G891" s="146"/>
      <c r="H891" s="155"/>
      <c r="I891" s="151"/>
      <c r="J891" s="152"/>
      <c r="K891" s="156"/>
      <c r="L891" s="253"/>
      <c r="M891" s="145"/>
      <c r="N891" s="145"/>
      <c r="O891" s="158"/>
      <c r="P891" s="145"/>
      <c r="Q891" s="145"/>
      <c r="R891" s="145"/>
      <c r="S891" s="160"/>
      <c r="T891" s="161"/>
      <c r="U891" s="147"/>
      <c r="V891" s="147"/>
      <c r="W891" s="147"/>
      <c r="X891" s="147"/>
      <c r="Y891" s="147"/>
      <c r="Z891" s="147"/>
      <c r="AA891" s="147"/>
      <c r="AB891" s="147"/>
      <c r="AC891" s="147"/>
      <c r="AD891" s="147"/>
      <c r="AE891" s="147"/>
      <c r="AF891" s="147"/>
      <c r="AG891" s="147"/>
      <c r="AH891" s="147"/>
      <c r="AI891" s="147"/>
      <c r="AJ891" s="147"/>
      <c r="AK891" s="147"/>
      <c r="AL891" s="147"/>
      <c r="AM891" s="147"/>
      <c r="AN891" s="147"/>
    </row>
    <row r="892" spans="1:40" ht="12.75" customHeight="1">
      <c r="A892" s="147"/>
      <c r="B892" s="147"/>
      <c r="C892" s="147"/>
      <c r="D892" s="146"/>
      <c r="E892" s="146"/>
      <c r="F892" s="146"/>
      <c r="G892" s="146"/>
      <c r="H892" s="155"/>
      <c r="I892" s="151"/>
      <c r="J892" s="152"/>
      <c r="K892" s="156"/>
      <c r="L892" s="253"/>
      <c r="M892" s="145"/>
      <c r="N892" s="145"/>
      <c r="O892" s="158"/>
      <c r="P892" s="145"/>
      <c r="Q892" s="145"/>
      <c r="R892" s="145"/>
      <c r="S892" s="160"/>
      <c r="T892" s="161"/>
      <c r="U892" s="147"/>
      <c r="V892" s="147"/>
      <c r="W892" s="147"/>
      <c r="X892" s="147"/>
      <c r="Y892" s="147"/>
      <c r="Z892" s="147"/>
      <c r="AA892" s="147"/>
      <c r="AB892" s="147"/>
      <c r="AC892" s="147"/>
      <c r="AD892" s="147"/>
      <c r="AE892" s="147"/>
      <c r="AF892" s="147"/>
      <c r="AG892" s="147"/>
      <c r="AH892" s="147"/>
      <c r="AI892" s="147"/>
      <c r="AJ892" s="147"/>
      <c r="AK892" s="147"/>
      <c r="AL892" s="147"/>
      <c r="AM892" s="147"/>
      <c r="AN892" s="147"/>
    </row>
    <row r="893" spans="1:40" ht="12.75" customHeight="1">
      <c r="A893" s="147"/>
      <c r="B893" s="147"/>
      <c r="C893" s="147"/>
      <c r="D893" s="146"/>
      <c r="E893" s="146"/>
      <c r="F893" s="146"/>
      <c r="G893" s="146"/>
      <c r="H893" s="155"/>
      <c r="I893" s="151"/>
      <c r="J893" s="152"/>
      <c r="K893" s="156"/>
      <c r="L893" s="253"/>
      <c r="M893" s="145"/>
      <c r="N893" s="145"/>
      <c r="O893" s="158"/>
      <c r="P893" s="145"/>
      <c r="Q893" s="145"/>
      <c r="R893" s="145"/>
      <c r="S893" s="160"/>
      <c r="T893" s="161"/>
      <c r="U893" s="147"/>
      <c r="V893" s="147"/>
      <c r="W893" s="147"/>
      <c r="X893" s="147"/>
      <c r="Y893" s="147"/>
      <c r="Z893" s="147"/>
      <c r="AA893" s="147"/>
      <c r="AB893" s="147"/>
      <c r="AC893" s="147"/>
      <c r="AD893" s="147"/>
      <c r="AE893" s="147"/>
      <c r="AF893" s="147"/>
      <c r="AG893" s="147"/>
      <c r="AH893" s="147"/>
      <c r="AI893" s="147"/>
      <c r="AJ893" s="147"/>
      <c r="AK893" s="147"/>
      <c r="AL893" s="147"/>
      <c r="AM893" s="147"/>
      <c r="AN893" s="147"/>
    </row>
    <row r="894" spans="1:40" ht="12.75" customHeight="1">
      <c r="A894" s="147"/>
      <c r="B894" s="147"/>
      <c r="C894" s="147"/>
      <c r="D894" s="146"/>
      <c r="E894" s="146"/>
      <c r="F894" s="146"/>
      <c r="G894" s="146"/>
      <c r="H894" s="155"/>
      <c r="I894" s="151"/>
      <c r="J894" s="152"/>
      <c r="K894" s="156"/>
      <c r="L894" s="253"/>
      <c r="M894" s="145"/>
      <c r="N894" s="145"/>
      <c r="O894" s="158"/>
      <c r="P894" s="145"/>
      <c r="Q894" s="145"/>
      <c r="R894" s="145"/>
      <c r="S894" s="160"/>
      <c r="T894" s="161"/>
      <c r="U894" s="147"/>
      <c r="V894" s="147"/>
      <c r="W894" s="147"/>
      <c r="X894" s="147"/>
      <c r="Y894" s="147"/>
      <c r="Z894" s="147"/>
      <c r="AA894" s="147"/>
      <c r="AB894" s="147"/>
      <c r="AC894" s="147"/>
      <c r="AD894" s="147"/>
      <c r="AE894" s="147"/>
      <c r="AF894" s="147"/>
      <c r="AG894" s="147"/>
      <c r="AH894" s="147"/>
      <c r="AI894" s="147"/>
      <c r="AJ894" s="147"/>
      <c r="AK894" s="147"/>
      <c r="AL894" s="147"/>
      <c r="AM894" s="147"/>
      <c r="AN894" s="147"/>
    </row>
    <row r="895" spans="1:40" ht="12.75" customHeight="1">
      <c r="A895" s="147"/>
      <c r="B895" s="147"/>
      <c r="C895" s="147"/>
      <c r="D895" s="146"/>
      <c r="E895" s="146"/>
      <c r="F895" s="146"/>
      <c r="G895" s="146"/>
      <c r="H895" s="155"/>
      <c r="I895" s="151"/>
      <c r="J895" s="152"/>
      <c r="K895" s="156"/>
      <c r="L895" s="253"/>
      <c r="M895" s="145"/>
      <c r="N895" s="145"/>
      <c r="O895" s="158"/>
      <c r="P895" s="145"/>
      <c r="Q895" s="145"/>
      <c r="R895" s="145"/>
      <c r="S895" s="160"/>
      <c r="T895" s="161"/>
      <c r="U895" s="147"/>
      <c r="V895" s="147"/>
      <c r="W895" s="147"/>
      <c r="X895" s="147"/>
      <c r="Y895" s="147"/>
      <c r="Z895" s="147"/>
      <c r="AA895" s="147"/>
      <c r="AB895" s="147"/>
      <c r="AC895" s="147"/>
      <c r="AD895" s="147"/>
      <c r="AE895" s="147"/>
      <c r="AF895" s="147"/>
      <c r="AG895" s="147"/>
      <c r="AH895" s="147"/>
      <c r="AI895" s="147"/>
      <c r="AJ895" s="147"/>
      <c r="AK895" s="147"/>
      <c r="AL895" s="147"/>
      <c r="AM895" s="147"/>
      <c r="AN895" s="147"/>
    </row>
    <row r="896" spans="1:40" ht="12.75" customHeight="1">
      <c r="A896" s="147"/>
      <c r="B896" s="147"/>
      <c r="C896" s="147"/>
      <c r="D896" s="146"/>
      <c r="E896" s="146"/>
      <c r="F896" s="146"/>
      <c r="G896" s="146"/>
      <c r="H896" s="155"/>
      <c r="I896" s="151"/>
      <c r="J896" s="152"/>
      <c r="K896" s="156"/>
      <c r="L896" s="253"/>
      <c r="M896" s="145"/>
      <c r="N896" s="145"/>
      <c r="O896" s="158"/>
      <c r="P896" s="145"/>
      <c r="Q896" s="145"/>
      <c r="R896" s="145"/>
      <c r="S896" s="160"/>
      <c r="T896" s="161"/>
      <c r="U896" s="147"/>
      <c r="V896" s="147"/>
      <c r="W896" s="147"/>
      <c r="X896" s="147"/>
      <c r="Y896" s="147"/>
      <c r="Z896" s="147"/>
      <c r="AA896" s="147"/>
      <c r="AB896" s="147"/>
      <c r="AC896" s="147"/>
      <c r="AD896" s="147"/>
      <c r="AE896" s="147"/>
      <c r="AF896" s="147"/>
      <c r="AG896" s="147"/>
      <c r="AH896" s="147"/>
      <c r="AI896" s="147"/>
      <c r="AJ896" s="147"/>
      <c r="AK896" s="147"/>
      <c r="AL896" s="147"/>
      <c r="AM896" s="147"/>
      <c r="AN896" s="147"/>
    </row>
    <row r="897" spans="1:40" ht="12.75" customHeight="1">
      <c r="A897" s="147"/>
      <c r="B897" s="147"/>
      <c r="C897" s="147"/>
      <c r="D897" s="146"/>
      <c r="E897" s="146"/>
      <c r="F897" s="146"/>
      <c r="G897" s="146"/>
      <c r="H897" s="155"/>
      <c r="I897" s="151"/>
      <c r="J897" s="152"/>
      <c r="K897" s="156"/>
      <c r="L897" s="253"/>
      <c r="M897" s="145"/>
      <c r="N897" s="145"/>
      <c r="O897" s="158"/>
      <c r="P897" s="145"/>
      <c r="Q897" s="145"/>
      <c r="R897" s="145"/>
      <c r="S897" s="160"/>
      <c r="T897" s="161"/>
      <c r="U897" s="147"/>
      <c r="V897" s="147"/>
      <c r="W897" s="147"/>
      <c r="X897" s="147"/>
      <c r="Y897" s="147"/>
      <c r="Z897" s="147"/>
      <c r="AA897" s="147"/>
      <c r="AB897" s="147"/>
      <c r="AC897" s="147"/>
      <c r="AD897" s="147"/>
      <c r="AE897" s="147"/>
      <c r="AF897" s="147"/>
      <c r="AG897" s="147"/>
      <c r="AH897" s="147"/>
      <c r="AI897" s="147"/>
      <c r="AJ897" s="147"/>
      <c r="AK897" s="147"/>
      <c r="AL897" s="147"/>
      <c r="AM897" s="147"/>
      <c r="AN897" s="147"/>
    </row>
    <row r="898" spans="1:40" ht="12.75" customHeight="1">
      <c r="A898" s="147"/>
      <c r="B898" s="147"/>
      <c r="C898" s="147"/>
      <c r="D898" s="146"/>
      <c r="E898" s="146"/>
      <c r="F898" s="146"/>
      <c r="G898" s="146"/>
      <c r="H898" s="155"/>
      <c r="I898" s="151"/>
      <c r="J898" s="152"/>
      <c r="K898" s="156"/>
      <c r="L898" s="253"/>
      <c r="M898" s="145"/>
      <c r="N898" s="145"/>
      <c r="O898" s="158"/>
      <c r="P898" s="145"/>
      <c r="Q898" s="145"/>
      <c r="R898" s="145"/>
      <c r="S898" s="160"/>
      <c r="T898" s="161"/>
      <c r="U898" s="147"/>
      <c r="V898" s="147"/>
      <c r="W898" s="147"/>
      <c r="X898" s="147"/>
      <c r="Y898" s="147"/>
      <c r="Z898" s="147"/>
      <c r="AA898" s="147"/>
      <c r="AB898" s="147"/>
      <c r="AC898" s="147"/>
      <c r="AD898" s="147"/>
      <c r="AE898" s="147"/>
      <c r="AF898" s="147"/>
      <c r="AG898" s="147"/>
      <c r="AH898" s="147"/>
      <c r="AI898" s="147"/>
      <c r="AJ898" s="147"/>
      <c r="AK898" s="147"/>
      <c r="AL898" s="147"/>
      <c r="AM898" s="147"/>
      <c r="AN898" s="147"/>
    </row>
    <row r="899" spans="1:40" ht="12.75" customHeight="1">
      <c r="A899" s="147"/>
      <c r="B899" s="147"/>
      <c r="C899" s="147"/>
      <c r="D899" s="146"/>
      <c r="E899" s="146"/>
      <c r="F899" s="146"/>
      <c r="G899" s="146"/>
      <c r="H899" s="155"/>
      <c r="I899" s="151"/>
      <c r="J899" s="152"/>
      <c r="K899" s="156"/>
      <c r="L899" s="253"/>
      <c r="M899" s="145"/>
      <c r="N899" s="145"/>
      <c r="O899" s="158"/>
      <c r="P899" s="145"/>
      <c r="Q899" s="145"/>
      <c r="R899" s="145"/>
      <c r="S899" s="145"/>
      <c r="T899" s="162"/>
      <c r="U899" s="147"/>
      <c r="V899" s="147"/>
      <c r="W899" s="147"/>
      <c r="X899" s="147"/>
      <c r="Y899" s="147"/>
      <c r="Z899" s="147"/>
      <c r="AA899" s="147"/>
      <c r="AB899" s="147"/>
      <c r="AC899" s="147"/>
      <c r="AD899" s="147"/>
      <c r="AE899" s="147"/>
      <c r="AF899" s="147"/>
      <c r="AG899" s="147"/>
      <c r="AH899" s="147"/>
      <c r="AI899" s="147"/>
      <c r="AJ899" s="147"/>
      <c r="AK899" s="147"/>
      <c r="AL899" s="147"/>
      <c r="AM899" s="147"/>
      <c r="AN899" s="147"/>
    </row>
    <row r="900" spans="1:40" ht="12.75" customHeight="1">
      <c r="A900" s="147"/>
      <c r="B900" s="147"/>
      <c r="C900" s="147"/>
      <c r="D900" s="146"/>
      <c r="E900" s="146"/>
      <c r="F900" s="146"/>
      <c r="G900" s="146"/>
      <c r="H900" s="155"/>
      <c r="I900" s="151"/>
      <c r="J900" s="152"/>
      <c r="K900" s="156"/>
      <c r="L900" s="253"/>
      <c r="M900" s="145"/>
      <c r="N900" s="145"/>
      <c r="O900" s="158"/>
      <c r="P900" s="145"/>
      <c r="Q900" s="145"/>
      <c r="R900" s="145"/>
      <c r="S900" s="145"/>
      <c r="T900" s="162"/>
      <c r="U900" s="147"/>
      <c r="V900" s="147"/>
      <c r="W900" s="147"/>
      <c r="X900" s="147"/>
      <c r="Y900" s="147"/>
      <c r="Z900" s="147"/>
      <c r="AA900" s="147"/>
      <c r="AB900" s="147"/>
      <c r="AC900" s="147"/>
      <c r="AD900" s="147"/>
      <c r="AE900" s="147"/>
      <c r="AF900" s="147"/>
      <c r="AG900" s="147"/>
      <c r="AH900" s="147"/>
      <c r="AI900" s="147"/>
      <c r="AJ900" s="147"/>
      <c r="AK900" s="147"/>
      <c r="AL900" s="147"/>
      <c r="AM900" s="147"/>
      <c r="AN900" s="147"/>
    </row>
    <row r="901" spans="1:40" ht="12.75" customHeight="1">
      <c r="A901" s="147"/>
      <c r="B901" s="147"/>
      <c r="C901" s="147"/>
      <c r="D901" s="146"/>
      <c r="E901" s="146"/>
      <c r="F901" s="146"/>
      <c r="G901" s="146"/>
      <c r="H901" s="155"/>
      <c r="I901" s="151"/>
      <c r="J901" s="152"/>
      <c r="K901" s="156"/>
      <c r="L901" s="253"/>
      <c r="M901" s="145"/>
      <c r="N901" s="145"/>
      <c r="O901" s="158"/>
      <c r="P901" s="145"/>
      <c r="Q901" s="145"/>
      <c r="R901" s="145"/>
      <c r="S901" s="145"/>
      <c r="T901" s="162"/>
      <c r="U901" s="147"/>
      <c r="V901" s="147"/>
      <c r="W901" s="147"/>
      <c r="X901" s="147"/>
      <c r="Y901" s="147"/>
      <c r="Z901" s="147"/>
      <c r="AA901" s="147"/>
      <c r="AB901" s="147"/>
      <c r="AC901" s="147"/>
      <c r="AD901" s="147"/>
      <c r="AE901" s="147"/>
      <c r="AF901" s="147"/>
      <c r="AG901" s="147"/>
      <c r="AH901" s="147"/>
      <c r="AI901" s="147"/>
      <c r="AJ901" s="147"/>
      <c r="AK901" s="147"/>
      <c r="AL901" s="147"/>
      <c r="AM901" s="147"/>
      <c r="AN901" s="147"/>
    </row>
    <row r="902" spans="1:40" ht="12.75" customHeight="1">
      <c r="A902" s="147"/>
      <c r="B902" s="147"/>
      <c r="C902" s="147"/>
      <c r="D902" s="146"/>
      <c r="E902" s="146"/>
      <c r="F902" s="146"/>
      <c r="G902" s="146"/>
      <c r="H902" s="155"/>
      <c r="I902" s="151"/>
      <c r="J902" s="152"/>
      <c r="K902" s="156"/>
      <c r="L902" s="253"/>
      <c r="M902" s="145"/>
      <c r="N902" s="145"/>
      <c r="O902" s="158"/>
      <c r="P902" s="145"/>
      <c r="Q902" s="145"/>
      <c r="R902" s="145"/>
      <c r="S902" s="145"/>
      <c r="T902" s="162"/>
      <c r="U902" s="147"/>
      <c r="V902" s="147"/>
      <c r="W902" s="147"/>
      <c r="X902" s="147"/>
      <c r="Y902" s="147"/>
      <c r="Z902" s="147"/>
      <c r="AA902" s="147"/>
      <c r="AB902" s="147"/>
      <c r="AC902" s="147"/>
      <c r="AD902" s="147"/>
      <c r="AE902" s="147"/>
      <c r="AF902" s="147"/>
      <c r="AG902" s="147"/>
      <c r="AH902" s="147"/>
      <c r="AI902" s="147"/>
      <c r="AJ902" s="147"/>
      <c r="AK902" s="147"/>
      <c r="AL902" s="147"/>
      <c r="AM902" s="147"/>
      <c r="AN902" s="147"/>
    </row>
    <row r="903" spans="1:40" ht="12.75" customHeight="1">
      <c r="A903" s="147"/>
      <c r="B903" s="147"/>
      <c r="C903" s="147"/>
      <c r="D903" s="146"/>
      <c r="E903" s="146"/>
      <c r="F903" s="146"/>
      <c r="G903" s="146"/>
      <c r="H903" s="155"/>
      <c r="I903" s="151"/>
      <c r="J903" s="152"/>
      <c r="K903" s="156"/>
      <c r="L903" s="253"/>
      <c r="M903" s="145"/>
      <c r="N903" s="145"/>
      <c r="O903" s="158"/>
      <c r="P903" s="145"/>
      <c r="Q903" s="145"/>
      <c r="R903" s="145"/>
      <c r="S903" s="145"/>
      <c r="T903" s="162"/>
      <c r="U903" s="147"/>
      <c r="V903" s="147"/>
      <c r="W903" s="147"/>
      <c r="X903" s="147"/>
      <c r="Y903" s="147"/>
      <c r="Z903" s="147"/>
      <c r="AA903" s="147"/>
      <c r="AB903" s="147"/>
      <c r="AC903" s="147"/>
      <c r="AD903" s="147"/>
      <c r="AE903" s="147"/>
      <c r="AF903" s="147"/>
      <c r="AG903" s="147"/>
      <c r="AH903" s="147"/>
      <c r="AI903" s="147"/>
      <c r="AJ903" s="147"/>
      <c r="AK903" s="147"/>
      <c r="AL903" s="147"/>
      <c r="AM903" s="147"/>
      <c r="AN903" s="147"/>
    </row>
    <row r="904" spans="1:40" ht="12.75" customHeight="1">
      <c r="A904" s="147"/>
      <c r="B904" s="147"/>
      <c r="C904" s="147"/>
      <c r="D904" s="146"/>
      <c r="E904" s="146"/>
      <c r="F904" s="146"/>
      <c r="G904" s="146"/>
      <c r="H904" s="155"/>
      <c r="I904" s="151"/>
      <c r="J904" s="152"/>
      <c r="K904" s="156"/>
      <c r="L904" s="253"/>
      <c r="M904" s="145"/>
      <c r="N904" s="145"/>
      <c r="O904" s="158"/>
      <c r="P904" s="145"/>
      <c r="Q904" s="145"/>
      <c r="R904" s="145"/>
      <c r="S904" s="145"/>
      <c r="T904" s="162"/>
      <c r="U904" s="147"/>
      <c r="V904" s="147"/>
      <c r="W904" s="147"/>
      <c r="X904" s="147"/>
      <c r="Y904" s="147"/>
      <c r="Z904" s="147"/>
      <c r="AA904" s="147"/>
      <c r="AB904" s="147"/>
      <c r="AC904" s="147"/>
      <c r="AD904" s="147"/>
      <c r="AE904" s="147"/>
      <c r="AF904" s="147"/>
      <c r="AG904" s="147"/>
      <c r="AH904" s="147"/>
      <c r="AI904" s="147"/>
      <c r="AJ904" s="147"/>
      <c r="AK904" s="147"/>
      <c r="AL904" s="147"/>
      <c r="AM904" s="147"/>
      <c r="AN904" s="147"/>
    </row>
    <row r="905" spans="1:40" ht="12.75" customHeight="1">
      <c r="A905" s="147"/>
      <c r="B905" s="147"/>
      <c r="C905" s="147"/>
      <c r="D905" s="146"/>
      <c r="E905" s="146"/>
      <c r="F905" s="146"/>
      <c r="G905" s="146"/>
      <c r="H905" s="155"/>
      <c r="I905" s="151"/>
      <c r="J905" s="152"/>
      <c r="K905" s="156"/>
      <c r="L905" s="253"/>
      <c r="M905" s="145"/>
      <c r="N905" s="145"/>
      <c r="O905" s="158"/>
      <c r="P905" s="145"/>
      <c r="Q905" s="145"/>
      <c r="R905" s="145"/>
      <c r="S905" s="145"/>
      <c r="T905" s="162"/>
      <c r="U905" s="147"/>
      <c r="V905" s="147"/>
      <c r="W905" s="147"/>
      <c r="X905" s="147"/>
      <c r="Y905" s="147"/>
      <c r="Z905" s="147"/>
      <c r="AA905" s="147"/>
      <c r="AB905" s="147"/>
      <c r="AC905" s="147"/>
      <c r="AD905" s="147"/>
      <c r="AE905" s="147"/>
      <c r="AF905" s="147"/>
      <c r="AG905" s="147"/>
      <c r="AH905" s="147"/>
      <c r="AI905" s="147"/>
      <c r="AJ905" s="147"/>
      <c r="AK905" s="147"/>
      <c r="AL905" s="147"/>
      <c r="AM905" s="147"/>
      <c r="AN905" s="147"/>
    </row>
    <row r="906" spans="1:40" ht="12.75" customHeight="1">
      <c r="A906" s="147"/>
      <c r="B906" s="147"/>
      <c r="C906" s="147"/>
      <c r="D906" s="146"/>
      <c r="E906" s="146"/>
      <c r="F906" s="146"/>
      <c r="G906" s="146"/>
      <c r="H906" s="155"/>
      <c r="I906" s="151"/>
      <c r="J906" s="152"/>
      <c r="K906" s="156"/>
      <c r="L906" s="253"/>
      <c r="M906" s="145"/>
      <c r="N906" s="145"/>
      <c r="O906" s="158"/>
      <c r="P906" s="145"/>
      <c r="Q906" s="145"/>
      <c r="R906" s="145"/>
      <c r="S906" s="145"/>
      <c r="T906" s="162"/>
      <c r="U906" s="147"/>
      <c r="V906" s="147"/>
      <c r="W906" s="147"/>
      <c r="X906" s="147"/>
      <c r="Y906" s="147"/>
      <c r="Z906" s="147"/>
      <c r="AA906" s="147"/>
      <c r="AB906" s="147"/>
      <c r="AC906" s="147"/>
      <c r="AD906" s="147"/>
      <c r="AE906" s="147"/>
      <c r="AF906" s="147"/>
      <c r="AG906" s="147"/>
      <c r="AH906" s="147"/>
      <c r="AI906" s="147"/>
      <c r="AJ906" s="147"/>
      <c r="AK906" s="147"/>
      <c r="AL906" s="147"/>
      <c r="AM906" s="147"/>
      <c r="AN906" s="147"/>
    </row>
    <row r="907" spans="1:40" ht="12.75" customHeight="1">
      <c r="A907" s="147"/>
      <c r="B907" s="147"/>
      <c r="C907" s="147"/>
      <c r="D907" s="146"/>
      <c r="E907" s="146"/>
      <c r="F907" s="146"/>
      <c r="G907" s="146"/>
      <c r="H907" s="155"/>
      <c r="I907" s="151"/>
      <c r="J907" s="152"/>
      <c r="K907" s="156"/>
      <c r="L907" s="253"/>
      <c r="M907" s="145"/>
      <c r="N907" s="145"/>
      <c r="O907" s="158"/>
      <c r="P907" s="145"/>
      <c r="Q907" s="145"/>
      <c r="R907" s="145"/>
      <c r="S907" s="145"/>
      <c r="T907" s="162"/>
      <c r="U907" s="147"/>
      <c r="V907" s="147"/>
      <c r="W907" s="147"/>
      <c r="X907" s="147"/>
      <c r="Y907" s="147"/>
      <c r="Z907" s="147"/>
      <c r="AA907" s="147"/>
      <c r="AB907" s="147"/>
      <c r="AC907" s="147"/>
      <c r="AD907" s="147"/>
      <c r="AE907" s="147"/>
      <c r="AF907" s="147"/>
      <c r="AG907" s="147"/>
      <c r="AH907" s="147"/>
      <c r="AI907" s="147"/>
      <c r="AJ907" s="147"/>
      <c r="AK907" s="147"/>
      <c r="AL907" s="147"/>
      <c r="AM907" s="147"/>
      <c r="AN907" s="147"/>
    </row>
    <row r="908" spans="1:40" ht="12.75" customHeight="1">
      <c r="A908" s="147"/>
      <c r="B908" s="147"/>
      <c r="C908" s="147"/>
      <c r="D908" s="146"/>
      <c r="E908" s="146"/>
      <c r="F908" s="146"/>
      <c r="G908" s="146"/>
      <c r="H908" s="155"/>
      <c r="I908" s="151"/>
      <c r="J908" s="152"/>
      <c r="K908" s="156"/>
      <c r="L908" s="253"/>
      <c r="M908" s="145"/>
      <c r="N908" s="145"/>
      <c r="O908" s="158"/>
      <c r="P908" s="145"/>
      <c r="Q908" s="145"/>
      <c r="R908" s="145"/>
      <c r="S908" s="145"/>
      <c r="T908" s="162"/>
      <c r="U908" s="147"/>
      <c r="V908" s="147"/>
      <c r="W908" s="147"/>
      <c r="X908" s="147"/>
      <c r="Y908" s="147"/>
      <c r="Z908" s="147"/>
      <c r="AA908" s="147"/>
      <c r="AB908" s="147"/>
      <c r="AC908" s="147"/>
      <c r="AD908" s="147"/>
      <c r="AE908" s="147"/>
      <c r="AF908" s="147"/>
      <c r="AG908" s="147"/>
      <c r="AH908" s="147"/>
      <c r="AI908" s="147"/>
      <c r="AJ908" s="147"/>
      <c r="AK908" s="147"/>
      <c r="AL908" s="147"/>
      <c r="AM908" s="147"/>
      <c r="AN908" s="147"/>
    </row>
    <row r="909" spans="1:40" ht="12.75" customHeight="1">
      <c r="A909" s="147"/>
      <c r="B909" s="147"/>
      <c r="C909" s="147"/>
      <c r="D909" s="146"/>
      <c r="E909" s="146"/>
      <c r="F909" s="146"/>
      <c r="G909" s="146"/>
      <c r="H909" s="155"/>
      <c r="I909" s="151"/>
      <c r="J909" s="152"/>
      <c r="K909" s="156"/>
      <c r="L909" s="253"/>
      <c r="M909" s="145"/>
      <c r="N909" s="145"/>
      <c r="O909" s="158"/>
      <c r="P909" s="145"/>
      <c r="Q909" s="145"/>
      <c r="R909" s="145"/>
      <c r="S909" s="145"/>
      <c r="T909" s="162"/>
      <c r="U909" s="147"/>
      <c r="V909" s="147"/>
      <c r="W909" s="147"/>
      <c r="X909" s="147"/>
      <c r="Y909" s="147"/>
      <c r="Z909" s="147"/>
      <c r="AA909" s="147"/>
      <c r="AB909" s="147"/>
      <c r="AC909" s="147"/>
      <c r="AD909" s="147"/>
      <c r="AE909" s="147"/>
      <c r="AF909" s="147"/>
      <c r="AG909" s="147"/>
      <c r="AH909" s="147"/>
      <c r="AI909" s="147"/>
      <c r="AJ909" s="147"/>
      <c r="AK909" s="147"/>
      <c r="AL909" s="147"/>
      <c r="AM909" s="147"/>
      <c r="AN909" s="147"/>
    </row>
    <row r="910" spans="1:40" ht="12.75" customHeight="1">
      <c r="A910" s="147"/>
      <c r="B910" s="147"/>
      <c r="C910" s="147"/>
      <c r="D910" s="146"/>
      <c r="E910" s="146"/>
      <c r="F910" s="146"/>
      <c r="G910" s="146"/>
      <c r="H910" s="155"/>
      <c r="I910" s="151"/>
      <c r="J910" s="152"/>
      <c r="K910" s="156"/>
      <c r="L910" s="253"/>
      <c r="M910" s="145"/>
      <c r="N910" s="145"/>
      <c r="O910" s="158"/>
      <c r="P910" s="145"/>
      <c r="Q910" s="145"/>
      <c r="R910" s="145"/>
      <c r="S910" s="145"/>
      <c r="T910" s="162"/>
      <c r="U910" s="147"/>
      <c r="V910" s="147"/>
      <c r="W910" s="147"/>
      <c r="X910" s="147"/>
      <c r="Y910" s="147"/>
      <c r="Z910" s="147"/>
      <c r="AA910" s="147"/>
      <c r="AB910" s="147"/>
      <c r="AC910" s="147"/>
      <c r="AD910" s="147"/>
      <c r="AE910" s="147"/>
      <c r="AF910" s="147"/>
      <c r="AG910" s="147"/>
      <c r="AH910" s="147"/>
      <c r="AI910" s="147"/>
      <c r="AJ910" s="147"/>
      <c r="AK910" s="147"/>
      <c r="AL910" s="147"/>
      <c r="AM910" s="147"/>
      <c r="AN910" s="147"/>
    </row>
    <row r="911" spans="1:40" ht="12.75" customHeight="1">
      <c r="A911" s="147"/>
      <c r="B911" s="147"/>
      <c r="C911" s="147"/>
      <c r="D911" s="146"/>
      <c r="E911" s="146"/>
      <c r="F911" s="146"/>
      <c r="G911" s="146"/>
      <c r="H911" s="155"/>
      <c r="I911" s="151"/>
      <c r="J911" s="152"/>
      <c r="K911" s="156"/>
      <c r="L911" s="253"/>
      <c r="M911" s="145"/>
      <c r="N911" s="145"/>
      <c r="O911" s="158"/>
      <c r="P911" s="145"/>
      <c r="Q911" s="145"/>
      <c r="R911" s="145"/>
      <c r="S911" s="145"/>
      <c r="T911" s="162"/>
      <c r="U911" s="147"/>
      <c r="V911" s="147"/>
      <c r="W911" s="147"/>
      <c r="X911" s="147"/>
      <c r="Y911" s="147"/>
      <c r="Z911" s="147"/>
      <c r="AA911" s="147"/>
      <c r="AB911" s="147"/>
      <c r="AC911" s="147"/>
      <c r="AD911" s="147"/>
      <c r="AE911" s="147"/>
      <c r="AF911" s="147"/>
      <c r="AG911" s="147"/>
      <c r="AH911" s="147"/>
      <c r="AI911" s="147"/>
      <c r="AJ911" s="147"/>
      <c r="AK911" s="147"/>
      <c r="AL911" s="147"/>
      <c r="AM911" s="147"/>
      <c r="AN911" s="147"/>
    </row>
    <row r="912" spans="1:40" ht="12.75" customHeight="1">
      <c r="A912" s="147"/>
      <c r="B912" s="147"/>
      <c r="C912" s="147"/>
      <c r="D912" s="146"/>
      <c r="E912" s="146"/>
      <c r="F912" s="146"/>
      <c r="G912" s="146"/>
      <c r="H912" s="155"/>
      <c r="I912" s="151"/>
      <c r="J912" s="152"/>
      <c r="K912" s="156"/>
      <c r="L912" s="253"/>
      <c r="M912" s="145"/>
      <c r="N912" s="145"/>
      <c r="O912" s="158"/>
      <c r="P912" s="145"/>
      <c r="Q912" s="145"/>
      <c r="R912" s="145"/>
      <c r="S912" s="145"/>
      <c r="T912" s="162"/>
      <c r="U912" s="147"/>
      <c r="V912" s="147"/>
      <c r="W912" s="147"/>
      <c r="X912" s="147"/>
      <c r="Y912" s="147"/>
      <c r="Z912" s="147"/>
      <c r="AA912" s="147"/>
      <c r="AB912" s="147"/>
      <c r="AC912" s="147"/>
      <c r="AD912" s="147"/>
      <c r="AE912" s="147"/>
      <c r="AF912" s="147"/>
      <c r="AG912" s="147"/>
      <c r="AH912" s="147"/>
      <c r="AI912" s="147"/>
      <c r="AJ912" s="147"/>
      <c r="AK912" s="147"/>
      <c r="AL912" s="147"/>
      <c r="AM912" s="147"/>
      <c r="AN912" s="147"/>
    </row>
    <row r="913" spans="1:40" ht="12.75" customHeight="1">
      <c r="A913" s="147"/>
      <c r="B913" s="147"/>
      <c r="C913" s="147"/>
      <c r="D913" s="146"/>
      <c r="E913" s="146"/>
      <c r="F913" s="146"/>
      <c r="G913" s="146"/>
      <c r="H913" s="155"/>
      <c r="I913" s="151"/>
      <c r="J913" s="152"/>
      <c r="K913" s="156"/>
      <c r="L913" s="253"/>
      <c r="M913" s="145"/>
      <c r="N913" s="145"/>
      <c r="O913" s="158"/>
      <c r="P913" s="146"/>
      <c r="Q913" s="146"/>
      <c r="R913" s="146"/>
      <c r="S913" s="146"/>
      <c r="T913" s="163"/>
      <c r="U913" s="147"/>
      <c r="V913" s="147"/>
      <c r="W913" s="147"/>
      <c r="X913" s="147"/>
      <c r="Y913" s="147"/>
      <c r="Z913" s="147"/>
      <c r="AA913" s="147"/>
      <c r="AB913" s="147"/>
      <c r="AC913" s="147"/>
      <c r="AD913" s="147"/>
      <c r="AE913" s="147"/>
      <c r="AF913" s="147"/>
      <c r="AG913" s="147"/>
      <c r="AH913" s="147"/>
      <c r="AI913" s="147"/>
      <c r="AJ913" s="147"/>
      <c r="AK913" s="147"/>
      <c r="AL913" s="147"/>
      <c r="AM913" s="147"/>
      <c r="AN913" s="147"/>
    </row>
    <row r="914" spans="1:40" ht="12.75" customHeight="1">
      <c r="A914" s="147"/>
      <c r="B914" s="147"/>
      <c r="C914" s="147"/>
      <c r="D914" s="146"/>
      <c r="E914" s="146"/>
      <c r="F914" s="146"/>
      <c r="G914" s="146"/>
      <c r="H914" s="155"/>
      <c r="I914" s="151"/>
      <c r="J914" s="152"/>
      <c r="K914" s="156"/>
      <c r="L914" s="253"/>
      <c r="M914" s="145"/>
      <c r="N914" s="145"/>
      <c r="O914" s="158"/>
      <c r="P914" s="146"/>
      <c r="Q914" s="146"/>
      <c r="R914" s="146"/>
      <c r="S914" s="146"/>
      <c r="T914" s="163"/>
      <c r="U914" s="147"/>
      <c r="V914" s="147"/>
      <c r="W914" s="147"/>
      <c r="X914" s="147"/>
      <c r="Y914" s="147"/>
      <c r="Z914" s="147"/>
      <c r="AA914" s="147"/>
      <c r="AB914" s="147"/>
      <c r="AC914" s="147"/>
      <c r="AD914" s="147"/>
      <c r="AE914" s="147"/>
      <c r="AF914" s="147"/>
      <c r="AG914" s="147"/>
      <c r="AH914" s="147"/>
      <c r="AI914" s="147"/>
      <c r="AJ914" s="147"/>
      <c r="AK914" s="147"/>
      <c r="AL914" s="147"/>
      <c r="AM914" s="147"/>
      <c r="AN914" s="147"/>
    </row>
    <row r="915" spans="1:40" ht="12.75" customHeight="1">
      <c r="A915" s="147"/>
      <c r="B915" s="147"/>
      <c r="C915" s="147"/>
      <c r="D915" s="146"/>
      <c r="E915" s="146"/>
      <c r="F915" s="146"/>
      <c r="G915" s="146"/>
      <c r="H915" s="155"/>
      <c r="I915" s="151"/>
      <c r="J915" s="152"/>
      <c r="K915" s="156"/>
      <c r="L915" s="253"/>
      <c r="M915" s="145"/>
      <c r="N915" s="145"/>
      <c r="O915" s="158"/>
      <c r="P915" s="146"/>
      <c r="Q915" s="146"/>
      <c r="R915" s="146"/>
      <c r="S915" s="146"/>
      <c r="T915" s="163"/>
      <c r="U915" s="147"/>
      <c r="V915" s="147"/>
      <c r="W915" s="147"/>
      <c r="X915" s="147"/>
      <c r="Y915" s="147"/>
      <c r="Z915" s="147"/>
      <c r="AA915" s="147"/>
      <c r="AB915" s="147"/>
      <c r="AC915" s="147"/>
      <c r="AD915" s="147"/>
      <c r="AE915" s="147"/>
      <c r="AF915" s="147"/>
      <c r="AG915" s="147"/>
      <c r="AH915" s="147"/>
      <c r="AI915" s="147"/>
      <c r="AJ915" s="147"/>
      <c r="AK915" s="147"/>
      <c r="AL915" s="147"/>
      <c r="AM915" s="147"/>
      <c r="AN915" s="147"/>
    </row>
    <row r="916" spans="1:40" ht="12.75" customHeight="1">
      <c r="A916" s="147"/>
      <c r="B916" s="147"/>
      <c r="C916" s="147"/>
      <c r="D916" s="146"/>
      <c r="E916" s="146"/>
      <c r="F916" s="146"/>
      <c r="G916" s="146"/>
      <c r="H916" s="155"/>
      <c r="I916" s="151"/>
      <c r="J916" s="152"/>
      <c r="K916" s="145"/>
      <c r="L916" s="253"/>
      <c r="M916" s="145"/>
      <c r="N916" s="145"/>
      <c r="O916" s="158"/>
      <c r="P916" s="146"/>
      <c r="Q916" s="146"/>
      <c r="R916" s="146"/>
      <c r="S916" s="146"/>
      <c r="T916" s="163"/>
      <c r="U916" s="147"/>
      <c r="V916" s="147"/>
      <c r="W916" s="147"/>
      <c r="X916" s="147"/>
      <c r="Y916" s="147"/>
      <c r="Z916" s="147"/>
      <c r="AA916" s="147"/>
      <c r="AB916" s="147"/>
      <c r="AC916" s="147"/>
      <c r="AD916" s="147"/>
      <c r="AE916" s="147"/>
      <c r="AF916" s="147"/>
      <c r="AG916" s="147"/>
      <c r="AH916" s="147"/>
      <c r="AI916" s="147"/>
      <c r="AJ916" s="147"/>
      <c r="AK916" s="147"/>
      <c r="AL916" s="147"/>
      <c r="AM916" s="147"/>
      <c r="AN916" s="147"/>
    </row>
    <row r="917" spans="1:40" ht="12.75" customHeight="1">
      <c r="A917" s="147"/>
      <c r="B917" s="147"/>
      <c r="C917" s="147"/>
      <c r="D917" s="146"/>
      <c r="E917" s="146"/>
      <c r="F917" s="146"/>
      <c r="G917" s="146"/>
      <c r="H917" s="155"/>
      <c r="I917" s="151"/>
      <c r="J917" s="152"/>
      <c r="K917" s="145"/>
      <c r="L917" s="253"/>
      <c r="M917" s="145"/>
      <c r="N917" s="145"/>
      <c r="O917" s="158"/>
      <c r="P917" s="146"/>
      <c r="Q917" s="146"/>
      <c r="R917" s="146"/>
      <c r="S917" s="146"/>
      <c r="T917" s="163"/>
      <c r="U917" s="147"/>
      <c r="V917" s="147"/>
      <c r="W917" s="147"/>
      <c r="X917" s="147"/>
      <c r="Y917" s="147"/>
      <c r="Z917" s="147"/>
      <c r="AA917" s="147"/>
      <c r="AB917" s="147"/>
      <c r="AC917" s="147"/>
      <c r="AD917" s="147"/>
      <c r="AE917" s="147"/>
      <c r="AF917" s="147"/>
      <c r="AG917" s="147"/>
      <c r="AH917" s="147"/>
      <c r="AI917" s="147"/>
      <c r="AJ917" s="147"/>
      <c r="AK917" s="147"/>
      <c r="AL917" s="147"/>
      <c r="AM917" s="147"/>
      <c r="AN917" s="147"/>
    </row>
    <row r="918" spans="1:40" ht="12.75" customHeight="1">
      <c r="A918" s="147"/>
      <c r="B918" s="147"/>
      <c r="C918" s="147"/>
      <c r="D918" s="146"/>
      <c r="E918" s="146"/>
      <c r="F918" s="146"/>
      <c r="G918" s="146"/>
      <c r="H918" s="155"/>
      <c r="I918" s="151"/>
      <c r="J918" s="152"/>
      <c r="K918" s="145"/>
      <c r="L918" s="253"/>
      <c r="M918" s="145"/>
      <c r="N918" s="145"/>
      <c r="O918" s="158"/>
      <c r="P918" s="146"/>
      <c r="Q918" s="146"/>
      <c r="R918" s="146"/>
      <c r="S918" s="146"/>
      <c r="T918" s="163"/>
      <c r="U918" s="147"/>
      <c r="V918" s="147"/>
      <c r="W918" s="147"/>
      <c r="X918" s="147"/>
      <c r="Y918" s="147"/>
      <c r="Z918" s="147"/>
      <c r="AA918" s="147"/>
      <c r="AB918" s="147"/>
      <c r="AC918" s="147"/>
      <c r="AD918" s="147"/>
      <c r="AE918" s="147"/>
      <c r="AF918" s="147"/>
      <c r="AG918" s="147"/>
      <c r="AH918" s="147"/>
      <c r="AI918" s="147"/>
      <c r="AJ918" s="147"/>
      <c r="AK918" s="147"/>
      <c r="AL918" s="147"/>
      <c r="AM918" s="147"/>
      <c r="AN918" s="147"/>
    </row>
    <row r="919" spans="1:40" ht="12.75" customHeight="1">
      <c r="A919" s="147"/>
      <c r="B919" s="147"/>
      <c r="C919" s="147"/>
      <c r="D919" s="146"/>
      <c r="E919" s="146"/>
      <c r="F919" s="146"/>
      <c r="G919" s="146"/>
      <c r="H919" s="155"/>
      <c r="I919" s="151"/>
      <c r="J919" s="152"/>
      <c r="K919" s="145"/>
      <c r="L919" s="253"/>
      <c r="M919" s="145"/>
      <c r="N919" s="145"/>
      <c r="O919" s="145"/>
      <c r="P919" s="146"/>
      <c r="Q919" s="146"/>
      <c r="R919" s="146"/>
      <c r="S919" s="146"/>
      <c r="T919" s="163"/>
      <c r="U919" s="147"/>
      <c r="V919" s="147"/>
      <c r="W919" s="147"/>
      <c r="X919" s="147"/>
      <c r="Y919" s="147"/>
      <c r="Z919" s="147"/>
      <c r="AA919" s="147"/>
      <c r="AB919" s="147"/>
      <c r="AC919" s="147"/>
      <c r="AD919" s="147"/>
      <c r="AE919" s="147"/>
      <c r="AF919" s="147"/>
      <c r="AG919" s="147"/>
      <c r="AH919" s="147"/>
      <c r="AI919" s="147"/>
      <c r="AJ919" s="147"/>
      <c r="AK919" s="147"/>
      <c r="AL919" s="147"/>
      <c r="AM919" s="147"/>
      <c r="AN919" s="147"/>
    </row>
    <row r="920" spans="1:40" ht="12.75" customHeight="1">
      <c r="A920" s="147"/>
      <c r="B920" s="147"/>
      <c r="C920" s="147"/>
      <c r="D920" s="146"/>
      <c r="E920" s="146"/>
      <c r="F920" s="146"/>
      <c r="G920" s="146"/>
      <c r="H920" s="155"/>
      <c r="I920" s="151"/>
      <c r="J920" s="152"/>
      <c r="K920" s="145"/>
      <c r="L920" s="253"/>
      <c r="M920" s="145"/>
      <c r="N920" s="145"/>
      <c r="O920" s="145"/>
      <c r="P920" s="146"/>
      <c r="Q920" s="146"/>
      <c r="R920" s="146"/>
      <c r="S920" s="146"/>
      <c r="T920" s="163"/>
      <c r="U920" s="147"/>
      <c r="V920" s="147"/>
      <c r="W920" s="147"/>
      <c r="X920" s="147"/>
      <c r="Y920" s="147"/>
      <c r="Z920" s="147"/>
      <c r="AA920" s="147"/>
      <c r="AB920" s="147"/>
      <c r="AC920" s="147"/>
      <c r="AD920" s="147"/>
      <c r="AE920" s="147"/>
      <c r="AF920" s="147"/>
      <c r="AG920" s="147"/>
      <c r="AH920" s="147"/>
      <c r="AI920" s="147"/>
      <c r="AJ920" s="147"/>
      <c r="AK920" s="147"/>
      <c r="AL920" s="147"/>
      <c r="AM920" s="147"/>
      <c r="AN920" s="147"/>
    </row>
    <row r="921" spans="1:40" ht="12.75" customHeight="1">
      <c r="A921" s="147"/>
      <c r="B921" s="147"/>
      <c r="C921" s="147"/>
      <c r="D921" s="146"/>
      <c r="E921" s="146"/>
      <c r="F921" s="146"/>
      <c r="G921" s="146"/>
      <c r="H921" s="155"/>
      <c r="I921" s="151"/>
      <c r="J921" s="152"/>
      <c r="K921" s="145"/>
      <c r="L921" s="253"/>
      <c r="M921" s="145"/>
      <c r="N921" s="145"/>
      <c r="O921" s="145"/>
      <c r="P921" s="146"/>
      <c r="Q921" s="146"/>
      <c r="R921" s="146"/>
      <c r="S921" s="146"/>
      <c r="T921" s="163"/>
      <c r="U921" s="147"/>
      <c r="V921" s="147"/>
      <c r="W921" s="147"/>
      <c r="X921" s="147"/>
      <c r="Y921" s="147"/>
      <c r="Z921" s="147"/>
      <c r="AA921" s="147"/>
      <c r="AB921" s="147"/>
      <c r="AC921" s="147"/>
      <c r="AD921" s="147"/>
      <c r="AE921" s="147"/>
      <c r="AF921" s="147"/>
      <c r="AG921" s="147"/>
      <c r="AH921" s="147"/>
      <c r="AI921" s="147"/>
      <c r="AJ921" s="147"/>
      <c r="AK921" s="147"/>
      <c r="AL921" s="147"/>
      <c r="AM921" s="147"/>
      <c r="AN921" s="147"/>
    </row>
    <row r="922" spans="1:40" ht="12.75" customHeight="1">
      <c r="A922" s="147"/>
      <c r="B922" s="147"/>
      <c r="C922" s="147"/>
      <c r="D922" s="146"/>
      <c r="E922" s="146"/>
      <c r="F922" s="146"/>
      <c r="G922" s="146"/>
      <c r="H922" s="155"/>
      <c r="I922" s="151"/>
      <c r="J922" s="152"/>
      <c r="K922" s="145"/>
      <c r="L922" s="253"/>
      <c r="M922" s="145"/>
      <c r="N922" s="145"/>
      <c r="O922" s="145"/>
      <c r="P922" s="146"/>
      <c r="Q922" s="146"/>
      <c r="R922" s="146"/>
      <c r="S922" s="146"/>
      <c r="T922" s="163"/>
      <c r="U922" s="147"/>
      <c r="V922" s="147"/>
      <c r="W922" s="147"/>
      <c r="X922" s="147"/>
      <c r="Y922" s="147"/>
      <c r="Z922" s="147"/>
      <c r="AA922" s="147"/>
      <c r="AB922" s="147"/>
      <c r="AC922" s="147"/>
      <c r="AD922" s="147"/>
      <c r="AE922" s="147"/>
      <c r="AF922" s="147"/>
      <c r="AG922" s="147"/>
      <c r="AH922" s="147"/>
      <c r="AI922" s="147"/>
      <c r="AJ922" s="147"/>
      <c r="AK922" s="147"/>
      <c r="AL922" s="147"/>
      <c r="AM922" s="147"/>
      <c r="AN922" s="147"/>
    </row>
    <row r="923" spans="1:40" ht="12.75" customHeight="1">
      <c r="A923" s="147"/>
      <c r="B923" s="147"/>
      <c r="C923" s="147"/>
      <c r="D923" s="146"/>
      <c r="E923" s="146"/>
      <c r="F923" s="146"/>
      <c r="G923" s="146"/>
      <c r="H923" s="155"/>
      <c r="I923" s="151"/>
      <c r="J923" s="152"/>
      <c r="K923" s="145"/>
      <c r="L923" s="253"/>
      <c r="M923" s="145"/>
      <c r="N923" s="145"/>
      <c r="O923" s="145"/>
      <c r="P923" s="146"/>
      <c r="Q923" s="146"/>
      <c r="R923" s="146"/>
      <c r="S923" s="146"/>
      <c r="T923" s="163"/>
      <c r="U923" s="147"/>
      <c r="V923" s="147"/>
      <c r="W923" s="147"/>
      <c r="X923" s="147"/>
      <c r="Y923" s="147"/>
      <c r="Z923" s="147"/>
      <c r="AA923" s="147"/>
      <c r="AB923" s="147"/>
      <c r="AC923" s="147"/>
      <c r="AD923" s="147"/>
      <c r="AE923" s="147"/>
      <c r="AF923" s="147"/>
      <c r="AG923" s="147"/>
      <c r="AH923" s="147"/>
      <c r="AI923" s="147"/>
      <c r="AJ923" s="147"/>
      <c r="AK923" s="147"/>
      <c r="AL923" s="147"/>
      <c r="AM923" s="147"/>
      <c r="AN923" s="147"/>
    </row>
    <row r="924" spans="1:40" ht="12.75" customHeight="1">
      <c r="A924" s="147"/>
      <c r="B924" s="147"/>
      <c r="C924" s="147"/>
      <c r="D924" s="146"/>
      <c r="E924" s="146"/>
      <c r="F924" s="146"/>
      <c r="G924" s="146"/>
      <c r="H924" s="155"/>
      <c r="I924" s="151"/>
      <c r="J924" s="152"/>
      <c r="K924" s="145"/>
      <c r="L924" s="253"/>
      <c r="M924" s="145"/>
      <c r="N924" s="145"/>
      <c r="O924" s="145"/>
      <c r="P924" s="146"/>
      <c r="Q924" s="146"/>
      <c r="R924" s="146"/>
      <c r="S924" s="146"/>
      <c r="T924" s="163"/>
      <c r="U924" s="147"/>
      <c r="V924" s="147"/>
      <c r="W924" s="147"/>
      <c r="X924" s="147"/>
      <c r="Y924" s="147"/>
      <c r="Z924" s="147"/>
      <c r="AA924" s="147"/>
      <c r="AB924" s="147"/>
      <c r="AC924" s="147"/>
      <c r="AD924" s="147"/>
      <c r="AE924" s="147"/>
      <c r="AF924" s="147"/>
      <c r="AG924" s="147"/>
      <c r="AH924" s="147"/>
      <c r="AI924" s="147"/>
      <c r="AJ924" s="147"/>
      <c r="AK924" s="147"/>
      <c r="AL924" s="147"/>
      <c r="AM924" s="147"/>
      <c r="AN924" s="147"/>
    </row>
    <row r="925" spans="1:40" ht="12.75" customHeight="1">
      <c r="A925" s="147"/>
      <c r="B925" s="147"/>
      <c r="C925" s="147"/>
      <c r="D925" s="146"/>
      <c r="E925" s="146"/>
      <c r="F925" s="146"/>
      <c r="G925" s="146"/>
      <c r="H925" s="155"/>
      <c r="I925" s="151"/>
      <c r="J925" s="152"/>
      <c r="K925" s="145"/>
      <c r="L925" s="253"/>
      <c r="M925" s="145"/>
      <c r="N925" s="145"/>
      <c r="O925" s="145"/>
      <c r="P925" s="146"/>
      <c r="Q925" s="146"/>
      <c r="R925" s="146"/>
      <c r="S925" s="146"/>
      <c r="T925" s="163"/>
      <c r="U925" s="147"/>
      <c r="V925" s="147"/>
      <c r="W925" s="147"/>
      <c r="X925" s="147"/>
      <c r="Y925" s="147"/>
      <c r="Z925" s="147"/>
      <c r="AA925" s="147"/>
      <c r="AB925" s="147"/>
      <c r="AC925" s="147"/>
      <c r="AD925" s="147"/>
      <c r="AE925" s="147"/>
      <c r="AF925" s="147"/>
      <c r="AG925" s="147"/>
      <c r="AH925" s="147"/>
      <c r="AI925" s="147"/>
      <c r="AJ925" s="147"/>
      <c r="AK925" s="147"/>
      <c r="AL925" s="147"/>
      <c r="AM925" s="147"/>
      <c r="AN925" s="147"/>
    </row>
    <row r="926" spans="1:40" ht="12.75" customHeight="1">
      <c r="A926" s="147"/>
      <c r="B926" s="147"/>
      <c r="C926" s="147"/>
      <c r="D926" s="146"/>
      <c r="E926" s="146"/>
      <c r="F926" s="146"/>
      <c r="G926" s="146"/>
      <c r="H926" s="155"/>
      <c r="I926" s="151"/>
      <c r="J926" s="152"/>
      <c r="K926" s="145"/>
      <c r="L926" s="253"/>
      <c r="M926" s="145"/>
      <c r="N926" s="145"/>
      <c r="O926" s="145"/>
      <c r="P926" s="146"/>
      <c r="Q926" s="146"/>
      <c r="R926" s="146"/>
      <c r="S926" s="146"/>
      <c r="T926" s="163"/>
      <c r="U926" s="147"/>
      <c r="V926" s="147"/>
      <c r="W926" s="147"/>
      <c r="X926" s="147"/>
      <c r="Y926" s="147"/>
      <c r="Z926" s="147"/>
      <c r="AA926" s="147"/>
      <c r="AB926" s="147"/>
      <c r="AC926" s="147"/>
      <c r="AD926" s="147"/>
      <c r="AE926" s="147"/>
      <c r="AF926" s="147"/>
      <c r="AG926" s="147"/>
      <c r="AH926" s="147"/>
      <c r="AI926" s="147"/>
      <c r="AJ926" s="147"/>
      <c r="AK926" s="147"/>
      <c r="AL926" s="147"/>
      <c r="AM926" s="147"/>
      <c r="AN926" s="147"/>
    </row>
    <row r="927" spans="1:40" ht="12.75" customHeight="1">
      <c r="A927" s="147"/>
      <c r="B927" s="147"/>
      <c r="C927" s="147"/>
      <c r="D927" s="146"/>
      <c r="E927" s="146"/>
      <c r="F927" s="146"/>
      <c r="G927" s="146"/>
      <c r="H927" s="155"/>
      <c r="I927" s="151"/>
      <c r="J927" s="152"/>
      <c r="K927" s="145"/>
      <c r="L927" s="253"/>
      <c r="M927" s="145"/>
      <c r="N927" s="145"/>
      <c r="O927" s="145"/>
      <c r="P927" s="146"/>
      <c r="Q927" s="146"/>
      <c r="R927" s="146"/>
      <c r="S927" s="146"/>
      <c r="T927" s="163"/>
      <c r="U927" s="147"/>
      <c r="V927" s="147"/>
      <c r="W927" s="147"/>
      <c r="X927" s="147"/>
      <c r="Y927" s="147"/>
      <c r="Z927" s="147"/>
      <c r="AA927" s="147"/>
      <c r="AB927" s="147"/>
      <c r="AC927" s="147"/>
      <c r="AD927" s="147"/>
      <c r="AE927" s="147"/>
      <c r="AF927" s="147"/>
      <c r="AG927" s="147"/>
      <c r="AH927" s="147"/>
      <c r="AI927" s="147"/>
      <c r="AJ927" s="147"/>
      <c r="AK927" s="147"/>
      <c r="AL927" s="147"/>
      <c r="AM927" s="147"/>
      <c r="AN927" s="147"/>
    </row>
    <row r="928" spans="1:40" ht="12.75" customHeight="1">
      <c r="A928" s="147"/>
      <c r="B928" s="147"/>
      <c r="C928" s="147"/>
      <c r="D928" s="146"/>
      <c r="E928" s="146"/>
      <c r="F928" s="146"/>
      <c r="G928" s="146"/>
      <c r="H928" s="155"/>
      <c r="I928" s="151"/>
      <c r="J928" s="152"/>
      <c r="K928" s="145"/>
      <c r="L928" s="253"/>
      <c r="M928" s="145"/>
      <c r="N928" s="145"/>
      <c r="O928" s="145"/>
      <c r="P928" s="146"/>
      <c r="Q928" s="146"/>
      <c r="R928" s="146"/>
      <c r="S928" s="146"/>
      <c r="T928" s="163"/>
      <c r="U928" s="147"/>
      <c r="V928" s="147"/>
      <c r="W928" s="147"/>
      <c r="X928" s="147"/>
      <c r="Y928" s="147"/>
      <c r="Z928" s="147"/>
      <c r="AA928" s="147"/>
      <c r="AB928" s="147"/>
      <c r="AC928" s="147"/>
      <c r="AD928" s="147"/>
      <c r="AE928" s="147"/>
      <c r="AF928" s="147"/>
      <c r="AG928" s="147"/>
      <c r="AH928" s="147"/>
      <c r="AI928" s="147"/>
      <c r="AJ928" s="147"/>
      <c r="AK928" s="147"/>
      <c r="AL928" s="147"/>
      <c r="AM928" s="147"/>
      <c r="AN928" s="147"/>
    </row>
    <row r="929" spans="1:40" ht="12.75" customHeight="1">
      <c r="A929" s="147"/>
      <c r="B929" s="147"/>
      <c r="C929" s="147"/>
      <c r="D929" s="146"/>
      <c r="E929" s="146"/>
      <c r="F929" s="146"/>
      <c r="G929" s="146"/>
      <c r="H929" s="164"/>
      <c r="I929" s="151"/>
      <c r="J929" s="152"/>
      <c r="K929" s="146"/>
      <c r="L929" s="254"/>
      <c r="M929" s="146"/>
      <c r="N929" s="146"/>
      <c r="O929" s="146"/>
      <c r="P929" s="146"/>
      <c r="Q929" s="146"/>
      <c r="R929" s="146"/>
      <c r="S929" s="146"/>
      <c r="T929" s="163"/>
      <c r="U929" s="147"/>
      <c r="V929" s="147"/>
      <c r="W929" s="147"/>
      <c r="X929" s="147"/>
      <c r="Y929" s="147"/>
      <c r="Z929" s="147"/>
      <c r="AA929" s="147"/>
      <c r="AB929" s="147"/>
      <c r="AC929" s="147"/>
      <c r="AD929" s="147"/>
      <c r="AE929" s="147"/>
      <c r="AF929" s="147"/>
      <c r="AG929" s="147"/>
      <c r="AH929" s="147"/>
      <c r="AI929" s="147"/>
      <c r="AJ929" s="147"/>
      <c r="AK929" s="147"/>
      <c r="AL929" s="147"/>
      <c r="AM929" s="147"/>
      <c r="AN929" s="147"/>
    </row>
    <row r="930" spans="1:40" ht="12.75" customHeight="1">
      <c r="A930" s="147"/>
      <c r="B930" s="147"/>
      <c r="C930" s="147"/>
      <c r="D930" s="147"/>
      <c r="E930" s="147"/>
      <c r="F930" s="147"/>
      <c r="G930" s="147"/>
      <c r="H930" s="165"/>
      <c r="I930" s="151"/>
      <c r="J930" s="147"/>
      <c r="K930" s="147"/>
      <c r="L930" s="255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7"/>
      <c r="AB930" s="147"/>
      <c r="AC930" s="147"/>
      <c r="AD930" s="147"/>
      <c r="AE930" s="147"/>
      <c r="AF930" s="147"/>
      <c r="AG930" s="147"/>
      <c r="AH930" s="147"/>
      <c r="AI930" s="147"/>
      <c r="AJ930" s="147"/>
      <c r="AK930" s="147"/>
      <c r="AL930" s="147"/>
      <c r="AM930" s="147"/>
      <c r="AN930" s="147"/>
    </row>
    <row r="931" spans="1:40" ht="12.75" customHeight="1">
      <c r="A931" s="147"/>
      <c r="B931" s="147"/>
      <c r="C931" s="147"/>
      <c r="D931" s="147"/>
      <c r="E931" s="147"/>
      <c r="F931" s="147"/>
      <c r="G931" s="147"/>
      <c r="H931" s="165"/>
      <c r="I931" s="151"/>
      <c r="J931" s="147"/>
      <c r="K931" s="147"/>
      <c r="L931" s="255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7"/>
      <c r="AB931" s="147"/>
      <c r="AC931" s="147"/>
      <c r="AD931" s="147"/>
      <c r="AE931" s="147"/>
      <c r="AF931" s="147"/>
      <c r="AG931" s="147"/>
      <c r="AH931" s="147"/>
      <c r="AI931" s="147"/>
      <c r="AJ931" s="147"/>
      <c r="AK931" s="147"/>
      <c r="AL931" s="147"/>
      <c r="AM931" s="147"/>
      <c r="AN931" s="147"/>
    </row>
    <row r="932" spans="1:40" ht="12.75" customHeight="1">
      <c r="A932" s="147"/>
      <c r="B932" s="147"/>
      <c r="C932" s="147"/>
      <c r="D932" s="147"/>
      <c r="E932" s="147"/>
      <c r="F932" s="147"/>
      <c r="G932" s="147"/>
      <c r="H932" s="165"/>
      <c r="I932" s="151"/>
      <c r="J932" s="147"/>
      <c r="K932" s="147"/>
      <c r="L932" s="255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7"/>
      <c r="AB932" s="147"/>
      <c r="AC932" s="147"/>
      <c r="AD932" s="147"/>
      <c r="AE932" s="147"/>
      <c r="AF932" s="147"/>
      <c r="AG932" s="147"/>
      <c r="AH932" s="147"/>
      <c r="AI932" s="147"/>
      <c r="AJ932" s="147"/>
      <c r="AK932" s="147"/>
      <c r="AL932" s="147"/>
      <c r="AM932" s="147"/>
      <c r="AN932" s="147"/>
    </row>
    <row r="933" spans="1:40" ht="12.75" customHeight="1">
      <c r="A933" s="147"/>
      <c r="B933" s="147"/>
      <c r="C933" s="147"/>
      <c r="D933" s="147"/>
      <c r="E933" s="147"/>
      <c r="F933" s="147"/>
      <c r="G933" s="147"/>
      <c r="H933" s="165"/>
      <c r="I933" s="151"/>
      <c r="J933" s="147"/>
      <c r="K933" s="147"/>
      <c r="L933" s="255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7"/>
      <c r="AB933" s="147"/>
      <c r="AC933" s="147"/>
      <c r="AD933" s="147"/>
      <c r="AE933" s="147"/>
      <c r="AF933" s="147"/>
      <c r="AG933" s="147"/>
      <c r="AH933" s="147"/>
      <c r="AI933" s="147"/>
      <c r="AJ933" s="147"/>
      <c r="AK933" s="147"/>
      <c r="AL933" s="147"/>
      <c r="AM933" s="147"/>
      <c r="AN933" s="147"/>
    </row>
    <row r="934" spans="1:40" ht="12.75" customHeight="1">
      <c r="A934" s="147"/>
      <c r="B934" s="147"/>
      <c r="C934" s="147"/>
      <c r="D934" s="147"/>
      <c r="E934" s="147"/>
      <c r="F934" s="147"/>
      <c r="G934" s="147"/>
      <c r="H934" s="165"/>
      <c r="I934" s="151"/>
      <c r="J934" s="147"/>
      <c r="K934" s="147"/>
      <c r="L934" s="255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  <c r="AA934" s="147"/>
      <c r="AB934" s="147"/>
      <c r="AC934" s="147"/>
      <c r="AD934" s="147"/>
      <c r="AE934" s="147"/>
      <c r="AF934" s="147"/>
      <c r="AG934" s="147"/>
      <c r="AH934" s="147"/>
      <c r="AI934" s="147"/>
      <c r="AJ934" s="147"/>
      <c r="AK934" s="147"/>
      <c r="AL934" s="147"/>
      <c r="AM934" s="147"/>
      <c r="AN934" s="147"/>
    </row>
    <row r="935" spans="1:40" ht="12.75" customHeight="1">
      <c r="A935" s="147"/>
      <c r="B935" s="147"/>
      <c r="C935" s="147"/>
      <c r="D935" s="147"/>
      <c r="E935" s="147"/>
      <c r="F935" s="147"/>
      <c r="G935" s="147"/>
      <c r="H935" s="165"/>
      <c r="I935" s="151"/>
      <c r="J935" s="147"/>
      <c r="K935" s="147"/>
      <c r="L935" s="255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  <c r="AA935" s="147"/>
      <c r="AB935" s="147"/>
      <c r="AC935" s="147"/>
      <c r="AD935" s="147"/>
      <c r="AE935" s="147"/>
      <c r="AF935" s="147"/>
      <c r="AG935" s="147"/>
      <c r="AH935" s="147"/>
      <c r="AI935" s="147"/>
      <c r="AJ935" s="147"/>
      <c r="AK935" s="147"/>
      <c r="AL935" s="147"/>
      <c r="AM935" s="147"/>
      <c r="AN935" s="147"/>
    </row>
    <row r="936" spans="1:40" ht="12.75" customHeight="1">
      <c r="A936" s="147"/>
      <c r="B936" s="147"/>
      <c r="C936" s="147"/>
      <c r="D936" s="147"/>
      <c r="E936" s="147"/>
      <c r="F936" s="147"/>
      <c r="G936" s="147"/>
      <c r="H936" s="165"/>
      <c r="I936" s="151"/>
      <c r="J936" s="147"/>
      <c r="K936" s="147"/>
      <c r="L936" s="255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  <c r="AA936" s="147"/>
      <c r="AB936" s="147"/>
      <c r="AC936" s="147"/>
      <c r="AD936" s="147"/>
      <c r="AE936" s="147"/>
      <c r="AF936" s="147"/>
      <c r="AG936" s="147"/>
      <c r="AH936" s="147"/>
      <c r="AI936" s="147"/>
      <c r="AJ936" s="147"/>
      <c r="AK936" s="147"/>
      <c r="AL936" s="147"/>
      <c r="AM936" s="147"/>
      <c r="AN936" s="147"/>
    </row>
    <row r="937" spans="1:40" ht="12.75" customHeight="1">
      <c r="A937" s="147"/>
      <c r="B937" s="147"/>
      <c r="C937" s="147"/>
      <c r="D937" s="147"/>
      <c r="E937" s="147"/>
      <c r="F937" s="147"/>
      <c r="G937" s="147"/>
      <c r="H937" s="165"/>
      <c r="I937" s="151"/>
      <c r="J937" s="147"/>
      <c r="K937" s="147"/>
      <c r="L937" s="255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  <c r="AA937" s="147"/>
      <c r="AB937" s="147"/>
      <c r="AC937" s="147"/>
      <c r="AD937" s="147"/>
      <c r="AE937" s="147"/>
      <c r="AF937" s="147"/>
      <c r="AG937" s="147"/>
      <c r="AH937" s="147"/>
      <c r="AI937" s="147"/>
      <c r="AJ937" s="147"/>
      <c r="AK937" s="147"/>
      <c r="AL937" s="147"/>
      <c r="AM937" s="147"/>
      <c r="AN937" s="147"/>
    </row>
    <row r="938" spans="1:40" ht="12.75" customHeight="1">
      <c r="A938" s="147"/>
      <c r="B938" s="147"/>
      <c r="C938" s="147"/>
      <c r="D938" s="147"/>
      <c r="E938" s="147"/>
      <c r="F938" s="147"/>
      <c r="G938" s="147"/>
      <c r="H938" s="165"/>
      <c r="I938" s="151"/>
      <c r="J938" s="147"/>
      <c r="K938" s="147"/>
      <c r="L938" s="255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  <c r="AA938" s="147"/>
      <c r="AB938" s="147"/>
      <c r="AC938" s="147"/>
      <c r="AD938" s="147"/>
      <c r="AE938" s="147"/>
      <c r="AF938" s="147"/>
      <c r="AG938" s="147"/>
      <c r="AH938" s="147"/>
      <c r="AI938" s="147"/>
      <c r="AJ938" s="147"/>
      <c r="AK938" s="147"/>
      <c r="AL938" s="147"/>
      <c r="AM938" s="147"/>
      <c r="AN938" s="147"/>
    </row>
    <row r="939" spans="1:40" ht="12.75" customHeight="1">
      <c r="A939" s="147"/>
      <c r="B939" s="147"/>
      <c r="C939" s="147"/>
      <c r="D939" s="147"/>
      <c r="E939" s="147"/>
      <c r="F939" s="147"/>
      <c r="G939" s="147"/>
      <c r="H939" s="165"/>
      <c r="I939" s="151"/>
      <c r="J939" s="147"/>
      <c r="K939" s="147"/>
      <c r="L939" s="255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  <c r="AA939" s="147"/>
      <c r="AB939" s="147"/>
      <c r="AC939" s="147"/>
      <c r="AD939" s="147"/>
      <c r="AE939" s="147"/>
      <c r="AF939" s="147"/>
      <c r="AG939" s="147"/>
      <c r="AH939" s="147"/>
      <c r="AI939" s="147"/>
      <c r="AJ939" s="147"/>
      <c r="AK939" s="147"/>
      <c r="AL939" s="147"/>
      <c r="AM939" s="147"/>
      <c r="AN939" s="147"/>
    </row>
    <row r="940" spans="1:40" ht="12.75" customHeight="1">
      <c r="A940" s="147"/>
      <c r="B940" s="147"/>
      <c r="C940" s="147"/>
      <c r="D940" s="147"/>
      <c r="E940" s="147"/>
      <c r="F940" s="147"/>
      <c r="G940" s="147"/>
      <c r="H940" s="165"/>
      <c r="I940" s="151"/>
      <c r="J940" s="147"/>
      <c r="K940" s="147"/>
      <c r="L940" s="255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  <c r="AA940" s="147"/>
      <c r="AB940" s="147"/>
      <c r="AC940" s="147"/>
      <c r="AD940" s="147"/>
      <c r="AE940" s="147"/>
      <c r="AF940" s="147"/>
      <c r="AG940" s="147"/>
      <c r="AH940" s="147"/>
      <c r="AI940" s="147"/>
      <c r="AJ940" s="147"/>
      <c r="AK940" s="147"/>
      <c r="AL940" s="147"/>
      <c r="AM940" s="147"/>
      <c r="AN940" s="147"/>
    </row>
    <row r="941" spans="1:40" ht="12.75" customHeight="1">
      <c r="A941" s="147"/>
      <c r="B941" s="147"/>
      <c r="C941" s="147"/>
      <c r="D941" s="147"/>
      <c r="E941" s="147"/>
      <c r="F941" s="147"/>
      <c r="G941" s="147"/>
      <c r="H941" s="165"/>
      <c r="I941" s="151"/>
      <c r="J941" s="147"/>
      <c r="K941" s="147"/>
      <c r="L941" s="255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  <c r="AA941" s="147"/>
      <c r="AB941" s="147"/>
      <c r="AC941" s="147"/>
      <c r="AD941" s="147"/>
      <c r="AE941" s="147"/>
      <c r="AF941" s="147"/>
      <c r="AG941" s="147"/>
      <c r="AH941" s="147"/>
      <c r="AI941" s="147"/>
      <c r="AJ941" s="147"/>
      <c r="AK941" s="147"/>
      <c r="AL941" s="147"/>
      <c r="AM941" s="147"/>
      <c r="AN941" s="147"/>
    </row>
    <row r="942" spans="1:40" ht="12.75" customHeight="1">
      <c r="A942" s="147"/>
      <c r="B942" s="147"/>
      <c r="C942" s="147"/>
      <c r="D942" s="147"/>
      <c r="E942" s="147"/>
      <c r="F942" s="147"/>
      <c r="G942" s="147"/>
      <c r="H942" s="165"/>
      <c r="I942" s="151"/>
      <c r="J942" s="147"/>
      <c r="K942" s="147"/>
      <c r="L942" s="255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  <c r="AA942" s="147"/>
      <c r="AB942" s="147"/>
      <c r="AC942" s="147"/>
      <c r="AD942" s="147"/>
      <c r="AE942" s="147"/>
      <c r="AF942" s="147"/>
      <c r="AG942" s="147"/>
      <c r="AH942" s="147"/>
      <c r="AI942" s="147"/>
      <c r="AJ942" s="147"/>
      <c r="AK942" s="147"/>
      <c r="AL942" s="147"/>
      <c r="AM942" s="147"/>
      <c r="AN942" s="147"/>
    </row>
    <row r="943" spans="1:40" ht="12.75" customHeight="1">
      <c r="A943" s="147"/>
      <c r="B943" s="147"/>
      <c r="C943" s="147"/>
      <c r="D943" s="147"/>
      <c r="E943" s="147"/>
      <c r="F943" s="147"/>
      <c r="G943" s="147"/>
      <c r="H943" s="165"/>
      <c r="I943" s="151"/>
      <c r="J943" s="147"/>
      <c r="K943" s="147"/>
      <c r="L943" s="255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  <c r="AA943" s="147"/>
      <c r="AB943" s="147"/>
      <c r="AC943" s="147"/>
      <c r="AD943" s="147"/>
      <c r="AE943" s="147"/>
      <c r="AF943" s="147"/>
      <c r="AG943" s="147"/>
      <c r="AH943" s="147"/>
      <c r="AI943" s="147"/>
      <c r="AJ943" s="147"/>
      <c r="AK943" s="147"/>
      <c r="AL943" s="147"/>
      <c r="AM943" s="147"/>
      <c r="AN943" s="147"/>
    </row>
    <row r="944" spans="1:40" ht="12.75" customHeight="1">
      <c r="A944" s="147"/>
      <c r="B944" s="147"/>
      <c r="C944" s="147"/>
      <c r="D944" s="147"/>
      <c r="E944" s="147"/>
      <c r="F944" s="147"/>
      <c r="G944" s="147"/>
      <c r="H944" s="165"/>
      <c r="I944" s="151"/>
      <c r="J944" s="147"/>
      <c r="K944" s="147"/>
      <c r="L944" s="255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  <c r="AA944" s="147"/>
      <c r="AB944" s="147"/>
      <c r="AC944" s="147"/>
      <c r="AD944" s="147"/>
      <c r="AE944" s="147"/>
      <c r="AF944" s="147"/>
      <c r="AG944" s="147"/>
      <c r="AH944" s="147"/>
      <c r="AI944" s="147"/>
      <c r="AJ944" s="147"/>
      <c r="AK944" s="147"/>
      <c r="AL944" s="147"/>
      <c r="AM944" s="147"/>
      <c r="AN944" s="147"/>
    </row>
    <row r="945" spans="1:40" ht="12.75" customHeight="1">
      <c r="A945" s="147"/>
      <c r="B945" s="147"/>
      <c r="C945" s="147"/>
      <c r="D945" s="147"/>
      <c r="E945" s="147"/>
      <c r="F945" s="147"/>
      <c r="G945" s="147"/>
      <c r="H945" s="165"/>
      <c r="I945" s="151"/>
      <c r="J945" s="147"/>
      <c r="K945" s="147"/>
      <c r="L945" s="255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  <c r="AA945" s="147"/>
      <c r="AB945" s="147"/>
      <c r="AC945" s="147"/>
      <c r="AD945" s="147"/>
      <c r="AE945" s="147"/>
      <c r="AF945" s="147"/>
      <c r="AG945" s="147"/>
      <c r="AH945" s="147"/>
      <c r="AI945" s="147"/>
      <c r="AJ945" s="147"/>
      <c r="AK945" s="147"/>
      <c r="AL945" s="147"/>
      <c r="AM945" s="147"/>
      <c r="AN945" s="147"/>
    </row>
    <row r="946" spans="1:40" ht="12.75" customHeight="1">
      <c r="A946" s="147"/>
      <c r="B946" s="147"/>
      <c r="C946" s="147"/>
      <c r="D946" s="147"/>
      <c r="E946" s="147"/>
      <c r="F946" s="147"/>
      <c r="G946" s="147"/>
      <c r="H946" s="165"/>
      <c r="I946" s="151"/>
      <c r="J946" s="147"/>
      <c r="K946" s="147"/>
      <c r="L946" s="255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  <c r="AA946" s="147"/>
      <c r="AB946" s="147"/>
      <c r="AC946" s="147"/>
      <c r="AD946" s="147"/>
      <c r="AE946" s="147"/>
      <c r="AF946" s="147"/>
      <c r="AG946" s="147"/>
      <c r="AH946" s="147"/>
      <c r="AI946" s="147"/>
      <c r="AJ946" s="147"/>
      <c r="AK946" s="147"/>
      <c r="AL946" s="147"/>
      <c r="AM946" s="147"/>
      <c r="AN946" s="147"/>
    </row>
    <row r="947" spans="1:40" ht="12.75" customHeight="1">
      <c r="A947" s="147"/>
      <c r="B947" s="147"/>
      <c r="C947" s="147"/>
      <c r="D947" s="147"/>
      <c r="E947" s="147"/>
      <c r="F947" s="147"/>
      <c r="G947" s="147"/>
      <c r="H947" s="165"/>
      <c r="I947" s="151"/>
      <c r="J947" s="147"/>
      <c r="K947" s="147"/>
      <c r="L947" s="255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  <c r="AA947" s="147"/>
      <c r="AB947" s="147"/>
      <c r="AC947" s="147"/>
      <c r="AD947" s="147"/>
      <c r="AE947" s="147"/>
      <c r="AF947" s="147"/>
      <c r="AG947" s="147"/>
      <c r="AH947" s="147"/>
      <c r="AI947" s="147"/>
      <c r="AJ947" s="147"/>
      <c r="AK947" s="147"/>
      <c r="AL947" s="147"/>
      <c r="AM947" s="147"/>
      <c r="AN947" s="147"/>
    </row>
    <row r="948" spans="1:40" ht="12.75" customHeight="1">
      <c r="A948" s="154"/>
      <c r="B948" s="154"/>
      <c r="C948" s="154"/>
      <c r="D948" s="166"/>
      <c r="E948" s="166"/>
      <c r="F948" s="166"/>
      <c r="G948" s="166"/>
      <c r="H948" s="155"/>
      <c r="J948" s="168"/>
      <c r="K948" s="145"/>
      <c r="L948" s="253"/>
      <c r="M948" s="145"/>
      <c r="N948" s="145"/>
      <c r="O948" s="145"/>
      <c r="P948" s="145"/>
      <c r="Q948" s="145"/>
      <c r="R948" s="145"/>
      <c r="S948" s="145"/>
      <c r="T948" s="162"/>
      <c r="U948" s="169"/>
      <c r="V948" s="169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  <c r="AI948" s="154"/>
      <c r="AJ948" s="154"/>
      <c r="AK948" s="154"/>
      <c r="AL948" s="154"/>
      <c r="AM948" s="154"/>
      <c r="AN948" s="154"/>
    </row>
    <row r="949" spans="1:40" ht="12.75" customHeight="1">
      <c r="A949" s="154"/>
      <c r="B949" s="154"/>
      <c r="C949" s="154"/>
      <c r="D949" s="166"/>
      <c r="E949" s="166"/>
      <c r="F949" s="166"/>
      <c r="G949" s="166"/>
      <c r="H949" s="155"/>
      <c r="J949" s="168"/>
      <c r="K949" s="145"/>
      <c r="L949" s="253"/>
      <c r="M949" s="145"/>
      <c r="N949" s="145"/>
      <c r="O949" s="145"/>
      <c r="P949" s="145"/>
      <c r="Q949" s="145"/>
      <c r="R949" s="145"/>
      <c r="S949" s="145"/>
      <c r="T949" s="162"/>
      <c r="U949" s="169"/>
      <c r="V949" s="169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  <c r="AI949" s="154"/>
      <c r="AJ949" s="154"/>
      <c r="AK949" s="154"/>
      <c r="AL949" s="154"/>
      <c r="AM949" s="154"/>
      <c r="AN949" s="154"/>
    </row>
    <row r="950" spans="1:40" ht="12.75" customHeight="1">
      <c r="A950" s="154"/>
      <c r="B950" s="154"/>
      <c r="C950" s="154"/>
      <c r="D950" s="166"/>
      <c r="E950" s="166"/>
      <c r="F950" s="166"/>
      <c r="G950" s="166"/>
      <c r="H950" s="155"/>
      <c r="J950" s="168"/>
      <c r="K950" s="145"/>
      <c r="L950" s="253"/>
      <c r="M950" s="145"/>
      <c r="N950" s="145"/>
      <c r="O950" s="145"/>
      <c r="P950" s="145"/>
      <c r="Q950" s="145"/>
      <c r="R950" s="145"/>
      <c r="S950" s="145"/>
      <c r="T950" s="162"/>
      <c r="U950" s="169"/>
      <c r="V950" s="169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  <c r="AI950" s="154"/>
      <c r="AJ950" s="154"/>
      <c r="AK950" s="154"/>
      <c r="AL950" s="154"/>
      <c r="AM950" s="154"/>
      <c r="AN950" s="154"/>
    </row>
    <row r="951" spans="1:40" ht="12.75" customHeight="1">
      <c r="A951" s="154"/>
      <c r="B951" s="154"/>
      <c r="C951" s="154"/>
      <c r="D951" s="166"/>
      <c r="E951" s="166"/>
      <c r="F951" s="166"/>
      <c r="G951" s="166"/>
      <c r="H951" s="155"/>
      <c r="J951" s="168"/>
      <c r="K951" s="145"/>
      <c r="L951" s="253"/>
      <c r="M951" s="145"/>
      <c r="N951" s="145"/>
      <c r="O951" s="145"/>
      <c r="P951" s="145"/>
      <c r="Q951" s="145"/>
      <c r="R951" s="145"/>
      <c r="S951" s="145"/>
      <c r="T951" s="162"/>
      <c r="U951" s="169"/>
      <c r="V951" s="169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  <c r="AI951" s="154"/>
      <c r="AJ951" s="154"/>
      <c r="AK951" s="154"/>
      <c r="AL951" s="154"/>
      <c r="AM951" s="154"/>
      <c r="AN951" s="154"/>
    </row>
    <row r="952" spans="1:40" ht="12.75" customHeight="1">
      <c r="A952" s="154"/>
      <c r="B952" s="154"/>
      <c r="C952" s="154"/>
      <c r="D952" s="166"/>
      <c r="E952" s="166"/>
      <c r="F952" s="166"/>
      <c r="G952" s="166"/>
      <c r="H952" s="155"/>
      <c r="J952" s="168"/>
      <c r="K952" s="145"/>
      <c r="L952" s="253"/>
      <c r="M952" s="145"/>
      <c r="N952" s="145"/>
      <c r="O952" s="145"/>
      <c r="P952" s="145"/>
      <c r="Q952" s="145"/>
      <c r="R952" s="145"/>
      <c r="S952" s="145"/>
      <c r="T952" s="162"/>
      <c r="U952" s="169"/>
      <c r="V952" s="169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  <c r="AI952" s="154"/>
      <c r="AJ952" s="154"/>
      <c r="AK952" s="154"/>
      <c r="AL952" s="154"/>
      <c r="AM952" s="154"/>
      <c r="AN952" s="154"/>
    </row>
    <row r="953" spans="1:40" ht="12.75" customHeight="1">
      <c r="A953" s="154"/>
      <c r="B953" s="154"/>
      <c r="C953" s="154"/>
      <c r="D953" s="166"/>
      <c r="E953" s="166"/>
      <c r="F953" s="166"/>
      <c r="G953" s="166"/>
      <c r="H953" s="155"/>
      <c r="J953" s="168"/>
      <c r="K953" s="145"/>
      <c r="L953" s="253"/>
      <c r="M953" s="145"/>
      <c r="N953" s="145"/>
      <c r="O953" s="145"/>
      <c r="P953" s="145"/>
      <c r="Q953" s="145"/>
      <c r="R953" s="145"/>
      <c r="S953" s="145"/>
      <c r="T953" s="162"/>
      <c r="U953" s="169"/>
      <c r="V953" s="169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  <c r="AI953" s="154"/>
      <c r="AJ953" s="154"/>
      <c r="AK953" s="154"/>
      <c r="AL953" s="154"/>
      <c r="AM953" s="154"/>
      <c r="AN953" s="154"/>
    </row>
    <row r="954" spans="1:40" ht="12.75" customHeight="1">
      <c r="A954" s="154"/>
      <c r="B954" s="154"/>
      <c r="C954" s="154"/>
      <c r="D954" s="166"/>
      <c r="E954" s="166"/>
      <c r="F954" s="166"/>
      <c r="G954" s="166"/>
      <c r="H954" s="155"/>
      <c r="J954" s="168"/>
      <c r="K954" s="145"/>
      <c r="L954" s="253"/>
      <c r="M954" s="145"/>
      <c r="N954" s="145"/>
      <c r="O954" s="145"/>
      <c r="P954" s="145"/>
      <c r="Q954" s="145"/>
      <c r="R954" s="145"/>
      <c r="S954" s="145"/>
      <c r="T954" s="162"/>
      <c r="U954" s="169"/>
      <c r="V954" s="169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  <c r="AI954" s="154"/>
      <c r="AJ954" s="154"/>
      <c r="AK954" s="154"/>
      <c r="AL954" s="154"/>
      <c r="AM954" s="154"/>
      <c r="AN954" s="154"/>
    </row>
    <row r="955" spans="1:40" ht="12.75" customHeight="1">
      <c r="A955" s="154"/>
      <c r="B955" s="154"/>
      <c r="C955" s="154"/>
      <c r="D955" s="166"/>
      <c r="E955" s="166"/>
      <c r="F955" s="166"/>
      <c r="G955" s="166"/>
      <c r="H955" s="155"/>
      <c r="J955" s="168"/>
      <c r="K955" s="145"/>
      <c r="L955" s="253"/>
      <c r="M955" s="145"/>
      <c r="N955" s="145"/>
      <c r="O955" s="145"/>
      <c r="P955" s="145"/>
      <c r="Q955" s="145"/>
      <c r="R955" s="145"/>
      <c r="S955" s="145"/>
      <c r="T955" s="162"/>
      <c r="U955" s="169"/>
      <c r="V955" s="169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  <c r="AI955" s="154"/>
      <c r="AJ955" s="154"/>
      <c r="AK955" s="154"/>
      <c r="AL955" s="154"/>
      <c r="AM955" s="154"/>
      <c r="AN955" s="154"/>
    </row>
    <row r="956" spans="1:40" ht="12.75" customHeight="1">
      <c r="A956" s="154"/>
      <c r="B956" s="154"/>
      <c r="C956" s="154"/>
      <c r="D956" s="166"/>
      <c r="E956" s="166"/>
      <c r="F956" s="166"/>
      <c r="G956" s="166"/>
      <c r="H956" s="155"/>
      <c r="J956" s="168"/>
      <c r="K956" s="145"/>
      <c r="L956" s="253"/>
      <c r="M956" s="145"/>
      <c r="N956" s="145"/>
      <c r="O956" s="145"/>
      <c r="P956" s="145"/>
      <c r="Q956" s="145"/>
      <c r="R956" s="145"/>
      <c r="S956" s="145"/>
      <c r="T956" s="162"/>
      <c r="U956" s="169"/>
      <c r="V956" s="169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  <c r="AI956" s="154"/>
      <c r="AJ956" s="154"/>
      <c r="AK956" s="154"/>
      <c r="AL956" s="154"/>
      <c r="AM956" s="154"/>
      <c r="AN956" s="154"/>
    </row>
    <row r="957" spans="1:40" ht="12.75" customHeight="1">
      <c r="A957" s="154"/>
      <c r="B957" s="154"/>
      <c r="C957" s="154"/>
      <c r="D957" s="166"/>
      <c r="E957" s="166"/>
      <c r="F957" s="166"/>
      <c r="G957" s="166"/>
      <c r="H957" s="155"/>
      <c r="J957" s="168"/>
      <c r="K957" s="145"/>
      <c r="L957" s="253"/>
      <c r="M957" s="145"/>
      <c r="N957" s="145"/>
      <c r="O957" s="145"/>
      <c r="P957" s="145"/>
      <c r="Q957" s="145"/>
      <c r="R957" s="145"/>
      <c r="S957" s="145"/>
      <c r="T957" s="162"/>
      <c r="U957" s="169"/>
      <c r="V957" s="169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  <c r="AI957" s="154"/>
      <c r="AJ957" s="154"/>
      <c r="AK957" s="154"/>
      <c r="AL957" s="154"/>
      <c r="AM957" s="154"/>
      <c r="AN957" s="154"/>
    </row>
    <row r="958" spans="1:40" ht="12.75" customHeight="1">
      <c r="A958" s="154"/>
      <c r="B958" s="154"/>
      <c r="C958" s="154"/>
      <c r="D958" s="166"/>
      <c r="E958" s="166"/>
      <c r="F958" s="166"/>
      <c r="G958" s="166"/>
      <c r="H958" s="155"/>
      <c r="J958" s="168"/>
      <c r="K958" s="145"/>
      <c r="L958" s="253"/>
      <c r="M958" s="145"/>
      <c r="N958" s="145"/>
      <c r="O958" s="145"/>
      <c r="P958" s="145"/>
      <c r="Q958" s="145"/>
      <c r="R958" s="145"/>
      <c r="S958" s="145"/>
      <c r="T958" s="162"/>
      <c r="U958" s="169"/>
      <c r="V958" s="169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  <c r="AI958" s="154"/>
      <c r="AJ958" s="154"/>
      <c r="AK958" s="154"/>
      <c r="AL958" s="154"/>
      <c r="AM958" s="154"/>
      <c r="AN958" s="154"/>
    </row>
    <row r="959" spans="1:40" ht="12.75" customHeight="1">
      <c r="A959" s="154"/>
      <c r="B959" s="154"/>
      <c r="C959" s="154"/>
      <c r="D959" s="166"/>
      <c r="E959" s="166"/>
      <c r="F959" s="166"/>
      <c r="G959" s="166"/>
      <c r="H959" s="155"/>
      <c r="J959" s="168"/>
      <c r="K959" s="145"/>
      <c r="L959" s="253"/>
      <c r="M959" s="145"/>
      <c r="N959" s="145"/>
      <c r="O959" s="145"/>
      <c r="P959" s="145"/>
      <c r="Q959" s="145"/>
      <c r="R959" s="145"/>
      <c r="S959" s="145"/>
      <c r="T959" s="162"/>
      <c r="U959" s="169"/>
      <c r="V959" s="169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  <c r="AI959" s="154"/>
      <c r="AJ959" s="154"/>
      <c r="AK959" s="154"/>
      <c r="AL959" s="154"/>
      <c r="AM959" s="154"/>
      <c r="AN959" s="154"/>
    </row>
    <row r="960" spans="1:40" ht="12.75" customHeight="1">
      <c r="A960" s="154"/>
      <c r="B960" s="154"/>
      <c r="C960" s="154"/>
      <c r="D960" s="166"/>
      <c r="E960" s="166"/>
      <c r="F960" s="166"/>
      <c r="G960" s="166"/>
      <c r="H960" s="155"/>
      <c r="J960" s="168"/>
      <c r="K960" s="145"/>
      <c r="L960" s="253"/>
      <c r="M960" s="145"/>
      <c r="N960" s="145"/>
      <c r="O960" s="145"/>
      <c r="P960" s="145"/>
      <c r="Q960" s="145"/>
      <c r="R960" s="145"/>
      <c r="S960" s="145"/>
      <c r="T960" s="162"/>
      <c r="U960" s="169"/>
      <c r="V960" s="169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  <c r="AI960" s="154"/>
      <c r="AJ960" s="154"/>
      <c r="AK960" s="154"/>
      <c r="AL960" s="154"/>
      <c r="AM960" s="154"/>
      <c r="AN960" s="154"/>
    </row>
    <row r="961" spans="1:40" ht="12.75" customHeight="1">
      <c r="A961" s="154"/>
      <c r="B961" s="154"/>
      <c r="C961" s="154"/>
      <c r="D961" s="166"/>
      <c r="E961" s="166"/>
      <c r="F961" s="166"/>
      <c r="G961" s="166"/>
      <c r="H961" s="155"/>
      <c r="J961" s="168"/>
      <c r="K961" s="145"/>
      <c r="L961" s="253"/>
      <c r="M961" s="145"/>
      <c r="N961" s="145"/>
      <c r="O961" s="145"/>
      <c r="P961" s="145"/>
      <c r="Q961" s="145"/>
      <c r="R961" s="145"/>
      <c r="S961" s="145"/>
      <c r="T961" s="162"/>
      <c r="U961" s="169"/>
      <c r="V961" s="169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  <c r="AI961" s="154"/>
      <c r="AJ961" s="154"/>
      <c r="AK961" s="154"/>
      <c r="AL961" s="154"/>
      <c r="AM961" s="154"/>
      <c r="AN961" s="154"/>
    </row>
    <row r="962" spans="1:40" ht="12.75" customHeight="1">
      <c r="A962" s="154"/>
      <c r="B962" s="154"/>
      <c r="C962" s="154"/>
      <c r="D962" s="166"/>
      <c r="E962" s="166"/>
      <c r="F962" s="166"/>
      <c r="G962" s="166"/>
      <c r="H962" s="155"/>
      <c r="J962" s="168"/>
      <c r="K962" s="145"/>
      <c r="L962" s="253"/>
      <c r="M962" s="145"/>
      <c r="N962" s="145"/>
      <c r="O962" s="145"/>
      <c r="P962" s="145"/>
      <c r="Q962" s="145"/>
      <c r="R962" s="145"/>
      <c r="S962" s="145"/>
      <c r="T962" s="162"/>
      <c r="U962" s="169"/>
      <c r="V962" s="169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  <c r="AI962" s="154"/>
      <c r="AJ962" s="154"/>
      <c r="AK962" s="154"/>
      <c r="AL962" s="154"/>
      <c r="AM962" s="154"/>
      <c r="AN962" s="154"/>
    </row>
    <row r="963" spans="1:40" ht="12.75" customHeight="1">
      <c r="A963" s="154"/>
      <c r="B963" s="154"/>
      <c r="C963" s="154"/>
      <c r="D963" s="166"/>
      <c r="E963" s="166"/>
      <c r="F963" s="166"/>
      <c r="G963" s="166"/>
      <c r="H963" s="155"/>
      <c r="J963" s="168"/>
      <c r="K963" s="145"/>
      <c r="L963" s="253"/>
      <c r="M963" s="145"/>
      <c r="N963" s="145"/>
      <c r="O963" s="145"/>
      <c r="P963" s="145"/>
      <c r="Q963" s="145"/>
      <c r="R963" s="145"/>
      <c r="S963" s="145"/>
      <c r="T963" s="162"/>
      <c r="U963" s="169"/>
      <c r="V963" s="169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  <c r="AI963" s="154"/>
      <c r="AJ963" s="154"/>
      <c r="AK963" s="154"/>
      <c r="AL963" s="154"/>
      <c r="AM963" s="154"/>
      <c r="AN963" s="154"/>
    </row>
    <row r="964" spans="1:40" ht="12.75" customHeight="1">
      <c r="A964" s="154"/>
      <c r="B964" s="154"/>
      <c r="C964" s="154"/>
      <c r="D964" s="166"/>
      <c r="E964" s="166"/>
      <c r="F964" s="166"/>
      <c r="G964" s="166"/>
      <c r="H964" s="155"/>
      <c r="J964" s="168"/>
      <c r="K964" s="145"/>
      <c r="L964" s="253"/>
      <c r="M964" s="145"/>
      <c r="N964" s="145"/>
      <c r="O964" s="145"/>
      <c r="P964" s="145"/>
      <c r="Q964" s="145"/>
      <c r="R964" s="145"/>
      <c r="S964" s="145"/>
      <c r="T964" s="162"/>
      <c r="U964" s="169"/>
      <c r="V964" s="169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  <c r="AI964" s="154"/>
      <c r="AJ964" s="154"/>
      <c r="AK964" s="154"/>
      <c r="AL964" s="154"/>
      <c r="AM964" s="154"/>
      <c r="AN964" s="154"/>
    </row>
    <row r="965" spans="1:40" ht="12.75" customHeight="1">
      <c r="A965" s="154"/>
      <c r="B965" s="154"/>
      <c r="C965" s="154"/>
      <c r="D965" s="166"/>
      <c r="E965" s="166"/>
      <c r="F965" s="166"/>
      <c r="G965" s="166"/>
      <c r="H965" s="155"/>
      <c r="J965" s="168"/>
      <c r="K965" s="145"/>
      <c r="L965" s="253"/>
      <c r="M965" s="145"/>
      <c r="N965" s="145"/>
      <c r="O965" s="145"/>
      <c r="P965" s="145"/>
      <c r="Q965" s="145"/>
      <c r="R965" s="145"/>
      <c r="S965" s="145"/>
      <c r="T965" s="162"/>
      <c r="U965" s="169"/>
      <c r="V965" s="169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  <c r="AI965" s="154"/>
      <c r="AJ965" s="154"/>
      <c r="AK965" s="154"/>
      <c r="AL965" s="154"/>
      <c r="AM965" s="154"/>
      <c r="AN965" s="154"/>
    </row>
    <row r="966" spans="1:40" ht="12.75" customHeight="1">
      <c r="A966" s="154"/>
      <c r="B966" s="154"/>
      <c r="C966" s="154"/>
      <c r="D966" s="166"/>
      <c r="E966" s="166"/>
      <c r="F966" s="166"/>
      <c r="G966" s="166"/>
      <c r="H966" s="155"/>
      <c r="J966" s="168"/>
      <c r="K966" s="145"/>
      <c r="L966" s="253"/>
      <c r="M966" s="145"/>
      <c r="N966" s="145"/>
      <c r="O966" s="145"/>
      <c r="P966" s="145"/>
      <c r="Q966" s="145"/>
      <c r="R966" s="145"/>
      <c r="S966" s="145"/>
      <c r="T966" s="162"/>
      <c r="U966" s="169"/>
      <c r="V966" s="169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  <c r="AI966" s="154"/>
      <c r="AJ966" s="154"/>
      <c r="AK966" s="154"/>
      <c r="AL966" s="154"/>
      <c r="AM966" s="154"/>
      <c r="AN966" s="154"/>
    </row>
    <row r="967" spans="1:40" ht="12.75" customHeight="1">
      <c r="A967" s="154"/>
      <c r="B967" s="154"/>
      <c r="C967" s="154"/>
      <c r="D967" s="166"/>
      <c r="E967" s="166"/>
      <c r="F967" s="166"/>
      <c r="G967" s="166"/>
      <c r="H967" s="155"/>
      <c r="J967" s="168"/>
      <c r="K967" s="145"/>
      <c r="L967" s="253"/>
      <c r="M967" s="145"/>
      <c r="N967" s="145"/>
      <c r="O967" s="145"/>
      <c r="P967" s="145"/>
      <c r="Q967" s="145"/>
      <c r="R967" s="145"/>
      <c r="S967" s="145"/>
      <c r="T967" s="162"/>
      <c r="U967" s="169"/>
      <c r="V967" s="169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  <c r="AI967" s="154"/>
      <c r="AJ967" s="154"/>
      <c r="AK967" s="154"/>
      <c r="AL967" s="154"/>
      <c r="AM967" s="154"/>
      <c r="AN967" s="154"/>
    </row>
    <row r="968" spans="1:40" ht="12.75" customHeight="1">
      <c r="A968" s="154"/>
      <c r="B968" s="154"/>
      <c r="C968" s="154"/>
      <c r="D968" s="166"/>
      <c r="E968" s="166"/>
      <c r="F968" s="166"/>
      <c r="G968" s="166"/>
      <c r="H968" s="155"/>
      <c r="J968" s="168"/>
      <c r="K968" s="145"/>
      <c r="L968" s="253"/>
      <c r="M968" s="145"/>
      <c r="N968" s="145"/>
      <c r="O968" s="145"/>
      <c r="P968" s="145"/>
      <c r="Q968" s="145"/>
      <c r="R968" s="145"/>
      <c r="S968" s="145"/>
      <c r="T968" s="162"/>
      <c r="U968" s="169"/>
      <c r="V968" s="169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  <c r="AI968" s="154"/>
      <c r="AJ968" s="154"/>
      <c r="AK968" s="154"/>
      <c r="AL968" s="154"/>
      <c r="AM968" s="154"/>
      <c r="AN968" s="154"/>
    </row>
    <row r="969" spans="1:40" ht="12.75" customHeight="1">
      <c r="A969" s="154"/>
      <c r="B969" s="154"/>
      <c r="C969" s="154"/>
      <c r="D969" s="166"/>
      <c r="E969" s="166"/>
      <c r="F969" s="166"/>
      <c r="G969" s="166"/>
      <c r="H969" s="155"/>
      <c r="J969" s="168"/>
      <c r="K969" s="145"/>
      <c r="L969" s="253"/>
      <c r="M969" s="145"/>
      <c r="N969" s="145"/>
      <c r="O969" s="145"/>
      <c r="P969" s="145"/>
      <c r="Q969" s="145"/>
      <c r="R969" s="145"/>
      <c r="S969" s="145"/>
      <c r="T969" s="162"/>
      <c r="U969" s="169"/>
      <c r="V969" s="169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  <c r="AI969" s="154"/>
      <c r="AJ969" s="154"/>
      <c r="AK969" s="154"/>
      <c r="AL969" s="154"/>
      <c r="AM969" s="154"/>
      <c r="AN969" s="154"/>
    </row>
    <row r="970" spans="1:40" ht="12.75" customHeight="1">
      <c r="A970" s="154"/>
      <c r="B970" s="154"/>
      <c r="C970" s="154"/>
      <c r="D970" s="166"/>
      <c r="E970" s="166"/>
      <c r="F970" s="166"/>
      <c r="G970" s="166"/>
      <c r="H970" s="155"/>
      <c r="J970" s="168"/>
      <c r="K970" s="145"/>
      <c r="L970" s="253"/>
      <c r="M970" s="145"/>
      <c r="N970" s="145"/>
      <c r="O970" s="145"/>
      <c r="P970" s="145"/>
      <c r="Q970" s="145"/>
      <c r="R970" s="145"/>
      <c r="S970" s="145"/>
      <c r="T970" s="162"/>
      <c r="U970" s="169"/>
      <c r="V970" s="169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  <c r="AI970" s="154"/>
      <c r="AJ970" s="154"/>
      <c r="AK970" s="154"/>
      <c r="AL970" s="154"/>
      <c r="AM970" s="154"/>
      <c r="AN970" s="154"/>
    </row>
    <row r="971" spans="1:40" ht="12.75" customHeight="1">
      <c r="A971" s="154"/>
      <c r="B971" s="154"/>
      <c r="C971" s="154"/>
      <c r="D971" s="166"/>
      <c r="E971" s="166"/>
      <c r="F971" s="166"/>
      <c r="G971" s="166"/>
      <c r="H971" s="155"/>
      <c r="J971" s="168"/>
      <c r="K971" s="145"/>
      <c r="L971" s="253"/>
      <c r="M971" s="145"/>
      <c r="N971" s="145"/>
      <c r="O971" s="145"/>
      <c r="P971" s="145"/>
      <c r="Q971" s="145"/>
      <c r="R971" s="145"/>
      <c r="S971" s="145"/>
      <c r="T971" s="162"/>
      <c r="U971" s="169"/>
      <c r="V971" s="169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  <c r="AI971" s="154"/>
      <c r="AJ971" s="154"/>
      <c r="AK971" s="154"/>
      <c r="AL971" s="154"/>
      <c r="AM971" s="154"/>
      <c r="AN971" s="154"/>
    </row>
    <row r="972" spans="1:40" ht="12.75" customHeight="1">
      <c r="A972" s="154"/>
      <c r="B972" s="154"/>
      <c r="C972" s="154"/>
      <c r="D972" s="166"/>
      <c r="E972" s="166"/>
      <c r="F972" s="166"/>
      <c r="G972" s="166"/>
      <c r="H972" s="155"/>
      <c r="J972" s="168"/>
      <c r="K972" s="145"/>
      <c r="L972" s="253"/>
      <c r="M972" s="145"/>
      <c r="N972" s="145"/>
      <c r="O972" s="145"/>
      <c r="P972" s="145"/>
      <c r="Q972" s="145"/>
      <c r="R972" s="145"/>
      <c r="S972" s="145"/>
      <c r="T972" s="162"/>
      <c r="U972" s="169"/>
      <c r="V972" s="169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  <c r="AI972" s="154"/>
      <c r="AJ972" s="154"/>
      <c r="AK972" s="154"/>
      <c r="AL972" s="154"/>
      <c r="AM972" s="154"/>
      <c r="AN972" s="154"/>
    </row>
    <row r="973" spans="1:40" ht="12.75" customHeight="1">
      <c r="A973" s="154"/>
      <c r="B973" s="154"/>
      <c r="C973" s="154"/>
      <c r="D973" s="166"/>
      <c r="E973" s="166"/>
      <c r="F973" s="166"/>
      <c r="G973" s="166"/>
      <c r="H973" s="155"/>
      <c r="J973" s="168"/>
      <c r="K973" s="145"/>
      <c r="L973" s="253"/>
      <c r="M973" s="145"/>
      <c r="N973" s="145"/>
      <c r="O973" s="145"/>
      <c r="P973" s="145"/>
      <c r="Q973" s="145"/>
      <c r="R973" s="145"/>
      <c r="S973" s="145"/>
      <c r="T973" s="162"/>
      <c r="U973" s="169"/>
      <c r="V973" s="169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  <c r="AI973" s="154"/>
      <c r="AJ973" s="154"/>
      <c r="AK973" s="154"/>
      <c r="AL973" s="154"/>
      <c r="AM973" s="154"/>
      <c r="AN973" s="154"/>
    </row>
    <row r="974" spans="1:40" ht="12.75" customHeight="1">
      <c r="A974" s="154"/>
      <c r="B974" s="154"/>
      <c r="C974" s="154"/>
      <c r="D974" s="166"/>
      <c r="E974" s="166"/>
      <c r="F974" s="166"/>
      <c r="G974" s="166"/>
      <c r="H974" s="155"/>
      <c r="J974" s="168"/>
      <c r="K974" s="145"/>
      <c r="L974" s="253"/>
      <c r="M974" s="145"/>
      <c r="N974" s="145"/>
      <c r="O974" s="145"/>
      <c r="P974" s="145"/>
      <c r="Q974" s="145"/>
      <c r="R974" s="145"/>
      <c r="S974" s="145"/>
      <c r="T974" s="162"/>
      <c r="U974" s="169"/>
      <c r="V974" s="169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  <c r="AI974" s="154"/>
      <c r="AJ974" s="154"/>
      <c r="AK974" s="154"/>
      <c r="AL974" s="154"/>
      <c r="AM974" s="154"/>
      <c r="AN974" s="154"/>
    </row>
    <row r="975" spans="1:40" ht="12.75" customHeight="1">
      <c r="A975" s="154"/>
      <c r="B975" s="154"/>
      <c r="C975" s="154"/>
      <c r="D975" s="166"/>
      <c r="E975" s="166"/>
      <c r="F975" s="166"/>
      <c r="G975" s="166"/>
      <c r="H975" s="155"/>
      <c r="J975" s="168"/>
      <c r="K975" s="145"/>
      <c r="L975" s="253"/>
      <c r="M975" s="145"/>
      <c r="N975" s="145"/>
      <c r="O975" s="145"/>
      <c r="P975" s="145"/>
      <c r="Q975" s="145"/>
      <c r="R975" s="145"/>
      <c r="S975" s="145"/>
      <c r="T975" s="162"/>
      <c r="U975" s="169"/>
      <c r="V975" s="169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  <c r="AI975" s="154"/>
      <c r="AJ975" s="154"/>
      <c r="AK975" s="154"/>
      <c r="AL975" s="154"/>
      <c r="AM975" s="154"/>
      <c r="AN975" s="154"/>
    </row>
    <row r="976" spans="1:40" ht="12.75" customHeight="1">
      <c r="A976" s="154"/>
      <c r="B976" s="154"/>
      <c r="C976" s="154"/>
      <c r="D976" s="166"/>
      <c r="E976" s="166"/>
      <c r="F976" s="166"/>
      <c r="G976" s="166"/>
      <c r="H976" s="155"/>
      <c r="J976" s="168"/>
      <c r="K976" s="145"/>
      <c r="L976" s="253"/>
      <c r="M976" s="145"/>
      <c r="N976" s="145"/>
      <c r="O976" s="145"/>
      <c r="P976" s="145"/>
      <c r="Q976" s="145"/>
      <c r="R976" s="145"/>
      <c r="S976" s="145"/>
      <c r="T976" s="162"/>
      <c r="U976" s="169"/>
      <c r="V976" s="169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  <c r="AI976" s="154"/>
      <c r="AJ976" s="154"/>
      <c r="AK976" s="154"/>
      <c r="AL976" s="154"/>
      <c r="AM976" s="154"/>
      <c r="AN976" s="154"/>
    </row>
    <row r="977" spans="1:40" ht="12.75" customHeight="1">
      <c r="A977" s="154"/>
      <c r="B977" s="154"/>
      <c r="C977" s="154"/>
      <c r="D977" s="166"/>
      <c r="E977" s="166"/>
      <c r="F977" s="166"/>
      <c r="G977" s="166"/>
      <c r="H977" s="155"/>
      <c r="J977" s="168"/>
      <c r="K977" s="145"/>
      <c r="L977" s="253"/>
      <c r="M977" s="145"/>
      <c r="N977" s="145"/>
      <c r="O977" s="145"/>
      <c r="P977" s="145"/>
      <c r="Q977" s="145"/>
      <c r="R977" s="145"/>
      <c r="S977" s="145"/>
      <c r="T977" s="162"/>
      <c r="U977" s="169"/>
      <c r="V977" s="169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  <c r="AI977" s="154"/>
      <c r="AJ977" s="154"/>
      <c r="AK977" s="154"/>
      <c r="AL977" s="154"/>
      <c r="AM977" s="154"/>
      <c r="AN977" s="154"/>
    </row>
    <row r="978" spans="1:40" ht="12.75" customHeight="1">
      <c r="A978" s="154"/>
      <c r="B978" s="154"/>
      <c r="C978" s="154"/>
      <c r="D978" s="166"/>
      <c r="E978" s="166"/>
      <c r="F978" s="166"/>
      <c r="G978" s="166"/>
      <c r="H978" s="155"/>
      <c r="J978" s="168"/>
      <c r="K978" s="145"/>
      <c r="L978" s="253"/>
      <c r="M978" s="145"/>
      <c r="N978" s="145"/>
      <c r="O978" s="145"/>
      <c r="P978" s="145"/>
      <c r="Q978" s="145"/>
      <c r="R978" s="145"/>
      <c r="S978" s="145"/>
      <c r="T978" s="162"/>
      <c r="U978" s="169"/>
      <c r="V978" s="169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  <c r="AI978" s="154"/>
      <c r="AJ978" s="154"/>
      <c r="AK978" s="154"/>
      <c r="AL978" s="154"/>
      <c r="AM978" s="154"/>
      <c r="AN978" s="154"/>
    </row>
    <row r="979" spans="1:40" ht="12.75" customHeight="1">
      <c r="A979" s="154"/>
      <c r="B979" s="154"/>
      <c r="C979" s="154"/>
      <c r="D979" s="166"/>
      <c r="E979" s="166"/>
      <c r="F979" s="166"/>
      <c r="G979" s="166"/>
      <c r="H979" s="155"/>
      <c r="J979" s="168"/>
      <c r="K979" s="145"/>
      <c r="L979" s="253"/>
      <c r="M979" s="145"/>
      <c r="N979" s="145"/>
      <c r="O979" s="145"/>
      <c r="P979" s="145"/>
      <c r="Q979" s="145"/>
      <c r="R979" s="145"/>
      <c r="S979" s="145"/>
      <c r="T979" s="162"/>
      <c r="U979" s="169"/>
      <c r="V979" s="169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  <c r="AI979" s="154"/>
      <c r="AJ979" s="154"/>
      <c r="AK979" s="154"/>
      <c r="AL979" s="154"/>
      <c r="AM979" s="154"/>
      <c r="AN979" s="154"/>
    </row>
    <row r="980" spans="1:40" ht="12.75" customHeight="1">
      <c r="A980" s="154"/>
      <c r="B980" s="154"/>
      <c r="C980" s="154"/>
      <c r="D980" s="166"/>
      <c r="E980" s="166"/>
      <c r="F980" s="166"/>
      <c r="G980" s="166"/>
      <c r="H980" s="155"/>
      <c r="J980" s="168"/>
      <c r="K980" s="145"/>
      <c r="L980" s="253"/>
      <c r="M980" s="145"/>
      <c r="N980" s="145"/>
      <c r="O980" s="145"/>
      <c r="P980" s="145"/>
      <c r="Q980" s="145"/>
      <c r="R980" s="145"/>
      <c r="S980" s="145"/>
      <c r="T980" s="162"/>
      <c r="U980" s="169"/>
      <c r="V980" s="169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  <c r="AI980" s="154"/>
      <c r="AJ980" s="154"/>
      <c r="AK980" s="154"/>
      <c r="AL980" s="154"/>
      <c r="AM980" s="154"/>
      <c r="AN980" s="154"/>
    </row>
    <row r="981" spans="1:40" ht="12.75" customHeight="1">
      <c r="A981" s="154"/>
      <c r="B981" s="154"/>
      <c r="C981" s="154"/>
      <c r="D981" s="166"/>
      <c r="E981" s="166"/>
      <c r="F981" s="166"/>
      <c r="G981" s="166"/>
      <c r="H981" s="155"/>
      <c r="J981" s="168"/>
      <c r="K981" s="145"/>
      <c r="L981" s="253"/>
      <c r="M981" s="145"/>
      <c r="N981" s="145"/>
      <c r="O981" s="145"/>
      <c r="P981" s="145"/>
      <c r="Q981" s="145"/>
      <c r="R981" s="145"/>
      <c r="S981" s="145"/>
      <c r="T981" s="162"/>
      <c r="U981" s="169"/>
      <c r="V981" s="169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  <c r="AI981" s="154"/>
      <c r="AJ981" s="154"/>
      <c r="AK981" s="154"/>
      <c r="AL981" s="154"/>
      <c r="AM981" s="154"/>
      <c r="AN981" s="154"/>
    </row>
    <row r="982" spans="1:40" ht="12.75" customHeight="1">
      <c r="A982" s="154"/>
      <c r="B982" s="154"/>
      <c r="C982" s="154"/>
      <c r="D982" s="166"/>
      <c r="E982" s="166"/>
      <c r="F982" s="166"/>
      <c r="G982" s="166"/>
      <c r="H982" s="155"/>
      <c r="J982" s="168"/>
      <c r="K982" s="145"/>
      <c r="L982" s="253"/>
      <c r="M982" s="145"/>
      <c r="N982" s="145"/>
      <c r="O982" s="145"/>
      <c r="P982" s="145"/>
      <c r="Q982" s="145"/>
      <c r="R982" s="145"/>
      <c r="S982" s="145"/>
      <c r="T982" s="162"/>
      <c r="U982" s="169"/>
      <c r="V982" s="169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  <c r="AI982" s="154"/>
      <c r="AJ982" s="154"/>
      <c r="AK982" s="154"/>
      <c r="AL982" s="154"/>
      <c r="AM982" s="154"/>
      <c r="AN982" s="154"/>
    </row>
    <row r="983" spans="1:40" ht="12.75" customHeight="1">
      <c r="A983" s="154"/>
      <c r="B983" s="154"/>
      <c r="C983" s="154"/>
      <c r="D983" s="166"/>
      <c r="E983" s="166"/>
      <c r="F983" s="166"/>
      <c r="G983" s="166"/>
      <c r="H983" s="155"/>
      <c r="J983" s="168"/>
      <c r="K983" s="145"/>
      <c r="L983" s="253"/>
      <c r="M983" s="145"/>
      <c r="N983" s="145"/>
      <c r="O983" s="145"/>
      <c r="P983" s="145"/>
      <c r="Q983" s="145"/>
      <c r="R983" s="145"/>
      <c r="S983" s="145"/>
      <c r="T983" s="162"/>
      <c r="U983" s="169"/>
      <c r="V983" s="169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  <c r="AI983" s="154"/>
      <c r="AJ983" s="154"/>
      <c r="AK983" s="154"/>
      <c r="AL983" s="154"/>
      <c r="AM983" s="154"/>
      <c r="AN983" s="154"/>
    </row>
    <row r="984" spans="1:40" ht="12.75" customHeight="1">
      <c r="A984" s="154"/>
      <c r="B984" s="154"/>
      <c r="C984" s="154"/>
      <c r="D984" s="166"/>
      <c r="E984" s="166"/>
      <c r="F984" s="166"/>
      <c r="G984" s="166"/>
      <c r="H984" s="155"/>
      <c r="J984" s="168"/>
      <c r="K984" s="145"/>
      <c r="L984" s="253"/>
      <c r="M984" s="145"/>
      <c r="N984" s="145"/>
      <c r="O984" s="145"/>
      <c r="P984" s="145"/>
      <c r="Q984" s="145"/>
      <c r="R984" s="145"/>
      <c r="S984" s="145"/>
      <c r="T984" s="162"/>
      <c r="U984" s="169"/>
      <c r="V984" s="169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  <c r="AI984" s="154"/>
      <c r="AJ984" s="154"/>
      <c r="AK984" s="154"/>
      <c r="AL984" s="154"/>
      <c r="AM984" s="154"/>
      <c r="AN984" s="154"/>
    </row>
    <row r="985" spans="1:40" ht="12.75" customHeight="1">
      <c r="A985" s="154"/>
      <c r="B985" s="154"/>
      <c r="C985" s="154"/>
      <c r="D985" s="166"/>
      <c r="E985" s="166"/>
      <c r="F985" s="166"/>
      <c r="G985" s="166"/>
      <c r="H985" s="155"/>
      <c r="J985" s="168"/>
      <c r="K985" s="145"/>
      <c r="L985" s="253"/>
      <c r="M985" s="145"/>
      <c r="N985" s="145"/>
      <c r="O985" s="145"/>
      <c r="P985" s="145"/>
      <c r="Q985" s="145"/>
      <c r="R985" s="145"/>
      <c r="S985" s="145"/>
      <c r="T985" s="162"/>
      <c r="U985" s="169"/>
      <c r="V985" s="169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  <c r="AI985" s="154"/>
      <c r="AJ985" s="154"/>
      <c r="AK985" s="154"/>
      <c r="AL985" s="154"/>
      <c r="AM985" s="154"/>
      <c r="AN985" s="154"/>
    </row>
    <row r="986" spans="1:40" ht="12.75" customHeight="1">
      <c r="A986" s="154"/>
      <c r="B986" s="154"/>
      <c r="C986" s="154"/>
      <c r="D986" s="166"/>
      <c r="E986" s="166"/>
      <c r="F986" s="166"/>
      <c r="G986" s="166"/>
      <c r="H986" s="155"/>
      <c r="J986" s="168"/>
      <c r="K986" s="145"/>
      <c r="L986" s="253"/>
      <c r="M986" s="145"/>
      <c r="N986" s="145"/>
      <c r="O986" s="145"/>
      <c r="P986" s="145"/>
      <c r="Q986" s="145"/>
      <c r="R986" s="145"/>
      <c r="S986" s="145"/>
      <c r="T986" s="162"/>
      <c r="U986" s="169"/>
      <c r="V986" s="169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  <c r="AI986" s="154"/>
      <c r="AJ986" s="154"/>
      <c r="AK986" s="154"/>
      <c r="AL986" s="154"/>
      <c r="AM986" s="154"/>
      <c r="AN986" s="154"/>
    </row>
    <row r="987" spans="1:40" ht="12.75" customHeight="1">
      <c r="A987" s="154"/>
      <c r="B987" s="154"/>
      <c r="C987" s="154"/>
      <c r="D987" s="166"/>
      <c r="E987" s="166"/>
      <c r="F987" s="166"/>
      <c r="G987" s="166"/>
      <c r="H987" s="155"/>
      <c r="J987" s="168"/>
      <c r="K987" s="145"/>
      <c r="L987" s="253"/>
      <c r="M987" s="145"/>
      <c r="N987" s="145"/>
      <c r="O987" s="145"/>
      <c r="P987" s="145"/>
      <c r="Q987" s="145"/>
      <c r="R987" s="145"/>
      <c r="S987" s="145"/>
      <c r="T987" s="162"/>
      <c r="U987" s="169"/>
      <c r="V987" s="169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  <c r="AI987" s="154"/>
      <c r="AJ987" s="154"/>
      <c r="AK987" s="154"/>
      <c r="AL987" s="154"/>
      <c r="AM987" s="154"/>
      <c r="AN987" s="154"/>
    </row>
    <row r="988" spans="1:40" ht="12.75" customHeight="1">
      <c r="A988" s="154"/>
      <c r="B988" s="154"/>
      <c r="C988" s="154"/>
      <c r="D988" s="166"/>
      <c r="E988" s="166"/>
      <c r="F988" s="166"/>
      <c r="G988" s="166"/>
      <c r="H988" s="155"/>
      <c r="J988" s="168"/>
      <c r="K988" s="145"/>
      <c r="L988" s="253"/>
      <c r="M988" s="145"/>
      <c r="N988" s="145"/>
      <c r="O988" s="145"/>
      <c r="P988" s="145"/>
      <c r="Q988" s="145"/>
      <c r="R988" s="145"/>
      <c r="S988" s="145"/>
      <c r="T988" s="162"/>
      <c r="U988" s="169"/>
      <c r="V988" s="169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  <c r="AI988" s="154"/>
      <c r="AJ988" s="154"/>
      <c r="AK988" s="154"/>
      <c r="AL988" s="154"/>
      <c r="AM988" s="154"/>
      <c r="AN988" s="154"/>
    </row>
    <row r="989" spans="1:40" ht="12.75" customHeight="1">
      <c r="A989" s="154"/>
      <c r="B989" s="154"/>
      <c r="C989" s="154"/>
      <c r="D989" s="166"/>
      <c r="E989" s="166"/>
      <c r="F989" s="166"/>
      <c r="G989" s="166"/>
      <c r="H989" s="155"/>
      <c r="J989" s="168"/>
      <c r="K989" s="145"/>
      <c r="L989" s="253"/>
      <c r="M989" s="145"/>
      <c r="N989" s="145"/>
      <c r="O989" s="145"/>
      <c r="P989" s="145"/>
      <c r="Q989" s="145"/>
      <c r="R989" s="145"/>
      <c r="S989" s="145"/>
      <c r="T989" s="162"/>
      <c r="U989" s="169"/>
      <c r="V989" s="169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  <c r="AI989" s="154"/>
      <c r="AJ989" s="154"/>
      <c r="AK989" s="154"/>
      <c r="AL989" s="154"/>
      <c r="AM989" s="154"/>
      <c r="AN989" s="154"/>
    </row>
    <row r="990" spans="1:40" ht="12.75" customHeight="1">
      <c r="A990" s="154"/>
      <c r="B990" s="154"/>
      <c r="C990" s="154"/>
      <c r="D990" s="166"/>
      <c r="E990" s="166"/>
      <c r="F990" s="166"/>
      <c r="G990" s="166"/>
      <c r="H990" s="155"/>
      <c r="J990" s="168"/>
      <c r="K990" s="145"/>
      <c r="L990" s="253"/>
      <c r="M990" s="145"/>
      <c r="N990" s="145"/>
      <c r="O990" s="145"/>
      <c r="P990" s="145"/>
      <c r="Q990" s="145"/>
      <c r="R990" s="145"/>
      <c r="S990" s="145"/>
      <c r="T990" s="162"/>
      <c r="U990" s="169"/>
      <c r="V990" s="169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  <c r="AI990" s="154"/>
      <c r="AJ990" s="154"/>
      <c r="AK990" s="154"/>
      <c r="AL990" s="154"/>
      <c r="AM990" s="154"/>
      <c r="AN990" s="154"/>
    </row>
    <row r="991" spans="1:40" ht="12.75" customHeight="1">
      <c r="A991" s="154"/>
      <c r="B991" s="154"/>
      <c r="C991" s="154"/>
      <c r="D991" s="166"/>
      <c r="E991" s="166"/>
      <c r="F991" s="166"/>
      <c r="G991" s="166"/>
      <c r="H991" s="155"/>
      <c r="J991" s="168"/>
      <c r="K991" s="145"/>
      <c r="L991" s="253"/>
      <c r="M991" s="145"/>
      <c r="N991" s="145"/>
      <c r="O991" s="145"/>
      <c r="P991" s="145"/>
      <c r="Q991" s="145"/>
      <c r="R991" s="145"/>
      <c r="S991" s="145"/>
      <c r="T991" s="162"/>
      <c r="U991" s="169"/>
      <c r="V991" s="169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  <c r="AI991" s="154"/>
      <c r="AJ991" s="154"/>
      <c r="AK991" s="154"/>
      <c r="AL991" s="154"/>
      <c r="AM991" s="154"/>
      <c r="AN991" s="154"/>
    </row>
    <row r="992" spans="1:40" ht="12.75" customHeight="1">
      <c r="A992" s="154"/>
      <c r="B992" s="154"/>
      <c r="C992" s="154"/>
      <c r="D992" s="166"/>
      <c r="E992" s="166"/>
      <c r="F992" s="166"/>
      <c r="G992" s="166"/>
      <c r="H992" s="155"/>
      <c r="J992" s="168"/>
      <c r="K992" s="145"/>
      <c r="L992" s="253"/>
      <c r="M992" s="145"/>
      <c r="N992" s="145"/>
      <c r="O992" s="145"/>
      <c r="P992" s="145"/>
      <c r="Q992" s="145"/>
      <c r="R992" s="145"/>
      <c r="S992" s="145"/>
      <c r="T992" s="162"/>
      <c r="U992" s="169"/>
      <c r="V992" s="169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  <c r="AI992" s="154"/>
      <c r="AJ992" s="154"/>
      <c r="AK992" s="154"/>
      <c r="AL992" s="154"/>
      <c r="AM992" s="154"/>
      <c r="AN992" s="154"/>
    </row>
    <row r="993" spans="1:40" ht="12.75" customHeight="1">
      <c r="A993" s="154"/>
      <c r="B993" s="154"/>
      <c r="C993" s="154"/>
      <c r="D993" s="166"/>
      <c r="E993" s="166"/>
      <c r="F993" s="166"/>
      <c r="G993" s="166"/>
      <c r="H993" s="155"/>
      <c r="J993" s="168"/>
      <c r="K993" s="145"/>
      <c r="L993" s="253"/>
      <c r="M993" s="145"/>
      <c r="N993" s="145"/>
      <c r="O993" s="145"/>
      <c r="P993" s="145"/>
      <c r="Q993" s="145"/>
      <c r="R993" s="145"/>
      <c r="S993" s="145"/>
      <c r="T993" s="162"/>
      <c r="U993" s="169"/>
      <c r="V993" s="169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  <c r="AI993" s="154"/>
      <c r="AJ993" s="154"/>
      <c r="AK993" s="154"/>
      <c r="AL993" s="154"/>
      <c r="AM993" s="154"/>
      <c r="AN993" s="154"/>
    </row>
    <row r="994" spans="1:40" ht="12.75" customHeight="1">
      <c r="A994" s="154"/>
      <c r="B994" s="154"/>
      <c r="C994" s="154"/>
      <c r="D994" s="166"/>
      <c r="E994" s="166"/>
      <c r="F994" s="166"/>
      <c r="G994" s="166"/>
      <c r="H994" s="155"/>
      <c r="J994" s="168"/>
      <c r="K994" s="145"/>
      <c r="L994" s="253"/>
      <c r="M994" s="145"/>
      <c r="N994" s="145"/>
      <c r="O994" s="145"/>
      <c r="P994" s="145"/>
      <c r="Q994" s="145"/>
      <c r="R994" s="145"/>
      <c r="S994" s="145"/>
      <c r="T994" s="162"/>
      <c r="U994" s="169"/>
      <c r="V994" s="169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  <c r="AI994" s="154"/>
      <c r="AJ994" s="154"/>
      <c r="AK994" s="154"/>
      <c r="AL994" s="154"/>
      <c r="AM994" s="154"/>
      <c r="AN994" s="154"/>
    </row>
    <row r="995" spans="1:40" ht="12.75" customHeight="1">
      <c r="A995" s="154"/>
      <c r="B995" s="154"/>
      <c r="C995" s="154"/>
      <c r="D995" s="166"/>
      <c r="E995" s="166"/>
      <c r="F995" s="166"/>
      <c r="G995" s="166"/>
      <c r="H995" s="155"/>
      <c r="J995" s="168"/>
      <c r="K995" s="145"/>
      <c r="L995" s="253"/>
      <c r="M995" s="145"/>
      <c r="N995" s="145"/>
      <c r="O995" s="145"/>
      <c r="P995" s="145"/>
      <c r="Q995" s="145"/>
      <c r="R995" s="145"/>
      <c r="S995" s="145"/>
      <c r="T995" s="162"/>
      <c r="U995" s="169"/>
      <c r="V995" s="169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  <c r="AI995" s="154"/>
      <c r="AJ995" s="154"/>
      <c r="AK995" s="154"/>
      <c r="AL995" s="154"/>
      <c r="AM995" s="154"/>
      <c r="AN995" s="154"/>
    </row>
    <row r="996" spans="1:40" ht="12.75" customHeight="1">
      <c r="A996" s="154"/>
      <c r="B996" s="154"/>
      <c r="C996" s="154"/>
      <c r="D996" s="166"/>
      <c r="E996" s="166"/>
      <c r="F996" s="166"/>
      <c r="G996" s="166"/>
      <c r="H996" s="155"/>
      <c r="J996" s="168"/>
      <c r="K996" s="145"/>
      <c r="L996" s="253"/>
      <c r="M996" s="145"/>
      <c r="N996" s="145"/>
      <c r="O996" s="145"/>
      <c r="P996" s="145"/>
      <c r="Q996" s="145"/>
      <c r="R996" s="145"/>
      <c r="S996" s="145"/>
      <c r="T996" s="162"/>
      <c r="U996" s="169"/>
      <c r="V996" s="169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  <c r="AI996" s="154"/>
      <c r="AJ996" s="154"/>
      <c r="AK996" s="154"/>
      <c r="AL996" s="154"/>
      <c r="AM996" s="154"/>
      <c r="AN996" s="154"/>
    </row>
    <row r="997" spans="1:40" ht="12.75" customHeight="1">
      <c r="A997" s="154"/>
      <c r="B997" s="154"/>
      <c r="C997" s="154"/>
      <c r="D997" s="166"/>
      <c r="E997" s="166"/>
      <c r="F997" s="166"/>
      <c r="G997" s="166"/>
      <c r="H997" s="155"/>
      <c r="J997" s="168"/>
      <c r="K997" s="145"/>
      <c r="L997" s="253"/>
      <c r="M997" s="145"/>
      <c r="N997" s="145"/>
      <c r="O997" s="145"/>
      <c r="P997" s="145"/>
      <c r="Q997" s="145"/>
      <c r="R997" s="145"/>
      <c r="S997" s="145"/>
      <c r="T997" s="162"/>
      <c r="U997" s="169"/>
      <c r="V997" s="169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  <c r="AI997" s="154"/>
      <c r="AJ997" s="154"/>
      <c r="AK997" s="154"/>
      <c r="AL997" s="154"/>
      <c r="AM997" s="154"/>
      <c r="AN997" s="154"/>
    </row>
    <row r="998" spans="1:40" ht="12.75" customHeight="1">
      <c r="A998" s="154"/>
      <c r="B998" s="154"/>
      <c r="C998" s="154"/>
      <c r="D998" s="166"/>
      <c r="E998" s="166"/>
      <c r="F998" s="166"/>
      <c r="G998" s="166"/>
      <c r="H998" s="155"/>
      <c r="J998" s="168"/>
      <c r="K998" s="145"/>
      <c r="L998" s="253"/>
      <c r="M998" s="145"/>
      <c r="N998" s="145"/>
      <c r="O998" s="145"/>
      <c r="P998" s="145"/>
      <c r="Q998" s="145"/>
      <c r="R998" s="145"/>
      <c r="S998" s="145"/>
      <c r="T998" s="162"/>
      <c r="U998" s="169"/>
      <c r="V998" s="169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  <c r="AI998" s="154"/>
      <c r="AJ998" s="154"/>
      <c r="AK998" s="154"/>
      <c r="AL998" s="154"/>
      <c r="AM998" s="154"/>
      <c r="AN998" s="154"/>
    </row>
    <row r="999" spans="1:40" ht="12.75" customHeight="1">
      <c r="A999" s="154"/>
      <c r="B999" s="154"/>
      <c r="C999" s="154"/>
      <c r="D999" s="166"/>
      <c r="E999" s="166"/>
      <c r="F999" s="166"/>
      <c r="G999" s="166"/>
      <c r="H999" s="155"/>
      <c r="J999" s="168"/>
      <c r="K999" s="145"/>
      <c r="L999" s="253"/>
      <c r="M999" s="145"/>
      <c r="N999" s="145"/>
      <c r="O999" s="145"/>
      <c r="P999" s="145"/>
      <c r="Q999" s="145"/>
      <c r="R999" s="145"/>
      <c r="S999" s="145"/>
      <c r="T999" s="162"/>
      <c r="U999" s="169"/>
      <c r="V999" s="169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  <c r="AI999" s="154"/>
      <c r="AJ999" s="154"/>
      <c r="AK999" s="154"/>
      <c r="AL999" s="154"/>
      <c r="AM999" s="154"/>
      <c r="AN999" s="154"/>
    </row>
    <row r="1000" spans="1:40" ht="12.75" customHeight="1">
      <c r="A1000" s="154"/>
      <c r="B1000" s="154"/>
      <c r="C1000" s="154"/>
      <c r="D1000" s="166"/>
      <c r="E1000" s="166"/>
      <c r="F1000" s="166"/>
      <c r="G1000" s="166"/>
      <c r="H1000" s="155"/>
      <c r="J1000" s="168"/>
      <c r="K1000" s="145"/>
      <c r="L1000" s="253"/>
      <c r="M1000" s="145"/>
      <c r="N1000" s="145"/>
      <c r="O1000" s="145"/>
      <c r="P1000" s="145"/>
      <c r="Q1000" s="145"/>
      <c r="R1000" s="145"/>
      <c r="S1000" s="145"/>
      <c r="T1000" s="162"/>
      <c r="U1000" s="169"/>
      <c r="V1000" s="169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  <c r="AI1000" s="154"/>
      <c r="AJ1000" s="154"/>
      <c r="AK1000" s="154"/>
      <c r="AL1000" s="154"/>
      <c r="AM1000" s="154"/>
      <c r="AN1000" s="154"/>
    </row>
    <row r="1001" spans="1:40" ht="12.75" customHeight="1">
      <c r="A1001" s="154"/>
      <c r="B1001" s="154"/>
      <c r="C1001" s="154"/>
      <c r="D1001" s="166"/>
      <c r="E1001" s="166"/>
      <c r="F1001" s="166"/>
      <c r="G1001" s="166"/>
      <c r="H1001" s="155"/>
      <c r="J1001" s="168"/>
      <c r="K1001" s="145"/>
      <c r="L1001" s="253"/>
      <c r="M1001" s="145"/>
      <c r="N1001" s="145"/>
      <c r="O1001" s="145"/>
      <c r="P1001" s="145"/>
      <c r="Q1001" s="145"/>
      <c r="R1001" s="145"/>
      <c r="S1001" s="145"/>
      <c r="T1001" s="162"/>
      <c r="U1001" s="169"/>
      <c r="V1001" s="169"/>
      <c r="W1001" s="154"/>
      <c r="X1001" s="154"/>
      <c r="Y1001" s="154"/>
      <c r="Z1001" s="154"/>
      <c r="AA1001" s="154"/>
      <c r="AB1001" s="154"/>
      <c r="AC1001" s="154"/>
      <c r="AD1001" s="154"/>
      <c r="AE1001" s="154"/>
      <c r="AF1001" s="154"/>
      <c r="AG1001" s="154"/>
      <c r="AH1001" s="154"/>
      <c r="AI1001" s="154"/>
      <c r="AJ1001" s="154"/>
      <c r="AK1001" s="154"/>
      <c r="AL1001" s="154"/>
      <c r="AM1001" s="154"/>
      <c r="AN1001" s="154"/>
    </row>
    <row r="1002" spans="1:40" ht="12.75" customHeight="1">
      <c r="A1002" s="154"/>
      <c r="B1002" s="154"/>
      <c r="C1002" s="154"/>
      <c r="D1002" s="166"/>
      <c r="E1002" s="166"/>
      <c r="F1002" s="166"/>
      <c r="G1002" s="166"/>
      <c r="H1002" s="155"/>
      <c r="J1002" s="168"/>
      <c r="K1002" s="145"/>
      <c r="L1002" s="253"/>
      <c r="M1002" s="145"/>
      <c r="N1002" s="145"/>
      <c r="O1002" s="145"/>
      <c r="P1002" s="145"/>
      <c r="Q1002" s="145"/>
      <c r="R1002" s="145"/>
      <c r="S1002" s="145"/>
      <c r="T1002" s="162"/>
      <c r="U1002" s="169"/>
      <c r="V1002" s="169"/>
      <c r="W1002" s="154"/>
      <c r="X1002" s="154"/>
      <c r="Y1002" s="154"/>
      <c r="Z1002" s="154"/>
      <c r="AA1002" s="154"/>
      <c r="AB1002" s="154"/>
      <c r="AC1002" s="154"/>
      <c r="AD1002" s="154"/>
      <c r="AE1002" s="154"/>
      <c r="AF1002" s="154"/>
      <c r="AG1002" s="154"/>
      <c r="AH1002" s="154"/>
      <c r="AI1002" s="154"/>
      <c r="AJ1002" s="154"/>
      <c r="AK1002" s="154"/>
      <c r="AL1002" s="154"/>
      <c r="AM1002" s="154"/>
      <c r="AN1002" s="154"/>
    </row>
    <row r="1003" spans="1:40" ht="12.75" customHeight="1">
      <c r="A1003" s="154"/>
      <c r="B1003" s="154"/>
      <c r="C1003" s="154"/>
      <c r="D1003" s="166"/>
      <c r="E1003" s="166"/>
      <c r="F1003" s="166"/>
      <c r="G1003" s="166"/>
      <c r="H1003" s="155"/>
      <c r="J1003" s="168"/>
      <c r="K1003" s="145"/>
      <c r="L1003" s="253"/>
      <c r="M1003" s="145"/>
      <c r="N1003" s="145"/>
      <c r="O1003" s="145"/>
      <c r="P1003" s="145"/>
      <c r="Q1003" s="145"/>
      <c r="R1003" s="145"/>
      <c r="S1003" s="145"/>
      <c r="T1003" s="162"/>
      <c r="U1003" s="169"/>
      <c r="V1003" s="169"/>
      <c r="W1003" s="154"/>
      <c r="X1003" s="154"/>
      <c r="Y1003" s="154"/>
      <c r="Z1003" s="154"/>
      <c r="AA1003" s="154"/>
      <c r="AB1003" s="154"/>
      <c r="AC1003" s="154"/>
      <c r="AD1003" s="154"/>
      <c r="AE1003" s="154"/>
      <c r="AF1003" s="154"/>
      <c r="AG1003" s="154"/>
      <c r="AH1003" s="154"/>
      <c r="AI1003" s="154"/>
      <c r="AJ1003" s="154"/>
      <c r="AK1003" s="154"/>
      <c r="AL1003" s="154"/>
      <c r="AM1003" s="154"/>
      <c r="AN1003" s="154"/>
    </row>
    <row r="1004" spans="1:40" ht="12.75" customHeight="1">
      <c r="A1004" s="154"/>
      <c r="B1004" s="154"/>
      <c r="C1004" s="154"/>
      <c r="D1004" s="166"/>
      <c r="E1004" s="166"/>
      <c r="F1004" s="166"/>
      <c r="G1004" s="166"/>
      <c r="H1004" s="155"/>
      <c r="J1004" s="168"/>
      <c r="K1004" s="145"/>
      <c r="L1004" s="253"/>
      <c r="M1004" s="145"/>
      <c r="N1004" s="145"/>
      <c r="O1004" s="145"/>
      <c r="P1004" s="145"/>
      <c r="Q1004" s="145"/>
      <c r="R1004" s="145"/>
      <c r="S1004" s="145"/>
      <c r="T1004" s="162"/>
      <c r="U1004" s="169"/>
      <c r="V1004" s="169"/>
      <c r="W1004" s="154"/>
      <c r="X1004" s="154"/>
      <c r="Y1004" s="154"/>
      <c r="Z1004" s="154"/>
      <c r="AA1004" s="154"/>
      <c r="AB1004" s="154"/>
      <c r="AC1004" s="154"/>
      <c r="AD1004" s="154"/>
      <c r="AE1004" s="154"/>
      <c r="AF1004" s="154"/>
      <c r="AG1004" s="154"/>
      <c r="AH1004" s="154"/>
      <c r="AI1004" s="154"/>
      <c r="AJ1004" s="154"/>
      <c r="AK1004" s="154"/>
      <c r="AL1004" s="154"/>
      <c r="AM1004" s="154"/>
      <c r="AN1004" s="154"/>
    </row>
    <row r="1005" spans="1:40" ht="12.75" customHeight="1">
      <c r="A1005" s="154"/>
      <c r="B1005" s="154"/>
      <c r="C1005" s="154"/>
      <c r="D1005" s="166"/>
      <c r="E1005" s="166"/>
      <c r="F1005" s="166"/>
      <c r="G1005" s="166"/>
      <c r="H1005" s="155"/>
      <c r="J1005" s="168"/>
      <c r="K1005" s="145"/>
      <c r="L1005" s="253"/>
      <c r="M1005" s="145"/>
      <c r="N1005" s="145"/>
      <c r="O1005" s="145"/>
      <c r="P1005" s="145"/>
      <c r="Q1005" s="145"/>
      <c r="R1005" s="145"/>
      <c r="S1005" s="145"/>
      <c r="T1005" s="162"/>
      <c r="U1005" s="169"/>
      <c r="V1005" s="169"/>
      <c r="W1005" s="154"/>
      <c r="X1005" s="154"/>
      <c r="Y1005" s="154"/>
      <c r="Z1005" s="154"/>
      <c r="AA1005" s="154"/>
      <c r="AB1005" s="154"/>
      <c r="AC1005" s="154"/>
      <c r="AD1005" s="154"/>
      <c r="AE1005" s="154"/>
      <c r="AF1005" s="154"/>
      <c r="AG1005" s="154"/>
      <c r="AH1005" s="154"/>
      <c r="AI1005" s="154"/>
      <c r="AJ1005" s="154"/>
      <c r="AK1005" s="154"/>
      <c r="AL1005" s="154"/>
      <c r="AM1005" s="154"/>
      <c r="AN1005" s="154"/>
    </row>
    <row r="1006" spans="1:40" ht="12.75" customHeight="1">
      <c r="A1006" s="154"/>
      <c r="B1006" s="154"/>
      <c r="C1006" s="154"/>
      <c r="D1006" s="166"/>
      <c r="E1006" s="166"/>
      <c r="F1006" s="166"/>
      <c r="G1006" s="166"/>
      <c r="H1006" s="155"/>
      <c r="J1006" s="168"/>
      <c r="K1006" s="145"/>
      <c r="L1006" s="253"/>
      <c r="M1006" s="145"/>
      <c r="N1006" s="145"/>
      <c r="O1006" s="145"/>
      <c r="P1006" s="145"/>
      <c r="Q1006" s="145"/>
      <c r="R1006" s="145"/>
      <c r="S1006" s="145"/>
      <c r="T1006" s="162"/>
      <c r="U1006" s="169"/>
      <c r="V1006" s="169"/>
      <c r="W1006" s="154"/>
      <c r="X1006" s="154"/>
      <c r="Y1006" s="154"/>
      <c r="Z1006" s="154"/>
      <c r="AA1006" s="154"/>
      <c r="AB1006" s="154"/>
      <c r="AC1006" s="154"/>
      <c r="AD1006" s="154"/>
      <c r="AE1006" s="154"/>
      <c r="AF1006" s="154"/>
      <c r="AG1006" s="154"/>
      <c r="AH1006" s="154"/>
      <c r="AI1006" s="154"/>
      <c r="AJ1006" s="154"/>
      <c r="AK1006" s="154"/>
      <c r="AL1006" s="154"/>
      <c r="AM1006" s="154"/>
      <c r="AN1006" s="154"/>
    </row>
  </sheetData>
  <hyperlinks>
    <hyperlink ref="H3" r:id="rId1" location="concept/details/1RFYC0WJeHu000025QrE$V" display="http://bsdd.buildingsmart.org/ - concept/details/1RFYC0WJeHu000025QrE$V"/>
    <hyperlink ref="H4" r:id="rId2" location="concept/details/0e9pE0BS4Htm00025QrE$V" display="http://bsdd.buildingsmart.org/ - concept/details/0e9pE0BS4Htm00025QrE$V"/>
    <hyperlink ref="H5" r:id="rId3" location="concept/details/0fMS7pOa11tgGGIp9khkl9" display="http://bsdd.buildingsmart.org/ - concept/details/0fMS7pOa11tgGGIp9khkl9"/>
    <hyperlink ref="H6" r:id="rId4" location="concept/details/1xX6ExoJb3fQk6EPVfIeg2" display="http://bsdd.buildingsmart.org/ - concept/details/1xX6ExoJb3fQk6EPVfIeg2"/>
    <hyperlink ref="H7" r:id="rId5" location="concept/details/0llsXYrU17agtuyvloY9Ey" display="http://bsdd.buildingsmart.org/ - concept/details/0llsXYrU17agtuyvloY9Ey"/>
    <hyperlink ref="H8" r:id="rId6" location="concept/details/13j6c0WJqHu000025QrE$V" display="http://bsdd.buildingsmart.org/ - concept/details/13j6c0WJqHu000025QrE$V"/>
    <hyperlink ref="H9" r:id="rId7" location="concept/details/3vHXEAoT0Hsm00051Mm008" display="http://bsdd.buildingsmart.org/ - concept/details/3vHXEAoT0Hsm00051Mm008"/>
    <hyperlink ref="H10" r:id="rId8" location="concept/details/3ZmvZTHnX5dwcVrCXJIeMm" display="http://bsdd.buildingsmart.org/ - concept/details/3ZmvZTHnX5dwcVrCXJIeMm"/>
    <hyperlink ref="H11" r:id="rId9" location="concept/details/0tq$SQAhn59PRS9OSo_OCI" display="http://bsdd.buildingsmart.org/ - concept/details/0tq$SQAhn59PRS9OSo_OCI"/>
    <hyperlink ref="H12" r:id="rId10" location="concept/details/3vHeLooT0Hsm00051Mm008" display="http://bsdd.buildingsmart.org/ - concept/details/3vHeLooT0Hsm00051Mm008"/>
    <hyperlink ref="H13" r:id="rId11" location="concept/details/1AU3K5RCnB692ei1j3RLAc" display="http://bsdd.buildingsmart.org/ - concept/details/1AU3K5RCnB692ei1j3RLAc"/>
    <hyperlink ref="H14" r:id="rId12" location="concept/details/395MG0gSGHtW00025QrE$V" display="http://bsdd.buildingsmart.org/ - concept/details/395MG0gSGHtW00025QrE$V"/>
    <hyperlink ref="H15" r:id="rId13" location="concept/details/2LolonnA18zfsP8nTcHMWm" display="http://bsdd.buildingsmart.org/ - concept/details/2LolonnA18zfsP8nTcHMWm"/>
    <hyperlink ref="H16" r:id="rId14" location="concept/details/312dw0BS8Htm00025QrE$V" display="http://bsdd.buildingsmart.org/ - concept/details/312dw0BS8Htm00025QrE$V"/>
    <hyperlink ref="H17" r:id="rId15" location="concept/details/3vHQHKoT0Hsm00051Mm008" display="http://bsdd.buildingsmart.org/ - concept/details/3vHQHKoT0Hsm00051Mm008"/>
    <hyperlink ref="H18" r:id="rId16" location="concept/details/3vHQHKoT0Hsm00051Mm008" display="http://bsdd.buildingsmart.org/ - concept/details/3vHQHKoT0Hsm00051Mm008"/>
    <hyperlink ref="H19" r:id="rId17" location="concept/details/3vHRvioT0Hsm00051Mm008" display="http://bsdd.buildingsmart.org/ - concept/details/3vHRvioT0Hsm00051Mm008"/>
    <hyperlink ref="H20" r:id="rId18" location="concept/details/3vHRvioT0Hsm00051Mm008" display="http://bsdd.buildingsmart.org/ - concept/details/3vHRvioT0Hsm00051Mm008"/>
    <hyperlink ref="H21" r:id="rId19" location="concept/details/3ZRFeAWJCHu000025QrE$V" display="http://bsdd.buildingsmart.org/ - concept/details/3ZRFeAWJCHu000025QrE$V"/>
    <hyperlink ref="H22" r:id="rId20" location="concept/details/3G2KSWSHPBQAe8ogtPCL4s" display="http://bsdd.buildingsmart.org/ - concept/details/3G2KSWSHPBQAe8ogtPCL4s"/>
    <hyperlink ref="H23" r:id="rId21" location="concept/details/2URCTlf6D5Ew5c3QYM2meA" display="http://bsdd.buildingsmart.org/ - concept/details/2URCTlf6D5Ew5c3QYM2meA"/>
    <hyperlink ref="H24" r:id="rId22" location="concept/details/3vHaOMoT0Hsm00051Mm008" display="http://bsdd.buildingsmart.org/ - concept/details/3vHaOMoT0Hsm00051Mm008"/>
    <hyperlink ref="H25" r:id="rId23" location="concept/details/3vHPwWoT0Hsm00051Mm008" display="http://bsdd.buildingsmart.org/ - concept/details/3vHPwWoT0Hsm00051Mm008"/>
    <hyperlink ref="H26" r:id="rId24" location="concept/details/3vHOxEoT0Hsm00051Mm008" display="http://bsdd.buildingsmart.org/ - concept/details/3vHOxEoT0Hsm00051Mm008"/>
    <hyperlink ref="H27" r:id="rId25" location="concept/details/3vHIlIoT0Hsm00051Mm008" display="http://bsdd.buildingsmart.org/ - concept/details/3vHIlIoT0Hsm00051Mm008"/>
    <hyperlink ref="H28" r:id="rId26" location="concept/details/2M$gC2Ruz9FBcoHB_x6U_7" display="http://bsdd.buildingsmart.org/ - concept/details/2M$gC2Ruz9FBcoHB_x6U_7"/>
    <hyperlink ref="H29" r:id="rId27" location="concept/details/3vHQxMoT0Hsm00051Mm008" display="http://bsdd.buildingsmart.org/ - concept/details/3vHQxMoT0Hsm00051Mm008"/>
    <hyperlink ref="H30" r:id="rId28" location="concept/details/3Lm$yOl4b5HvpTKkiAadDo" display="http://bsdd.buildingsmart.org/ - concept/details/3Lm$yOl4b5HvpTKkiAadDo"/>
    <hyperlink ref="H31" r:id="rId29" location="concept/details/3vHaJWoT0Hsm00051Mm008" display="http://bsdd.buildingsmart.org/ - concept/details/3vHaJWoT0Hsm00051Mm008"/>
    <hyperlink ref="H32" r:id="rId30" location="concept/details/1i44itooP5F9e53Jc$HR0o" display="http://bsdd.buildingsmart.org/ - concept/details/1i44itooP5F9e53Jc$HR0o"/>
    <hyperlink ref="H33" r:id="rId31" location="concept/details/3vHZS2oT0Hsm00051Mm008" display="http://bsdd.buildingsmart.org/ - concept/details/3vHZS2oT0Hsm00051Mm008"/>
    <hyperlink ref="H34" r:id="rId32" location="concept/details/2lq2tPoPj5yhvpYYcnKtVx" display="http://bsdd.buildingsmart.org/ - concept/details/2lq2tPoPj5yhvpYYcnKtVx"/>
    <hyperlink ref="H35" r:id="rId33" location="concept/details/0NJUDy8Cb26xlNqtypeO$3" display="http://bsdd.buildingsmart.org/ - concept/details/0NJUDy8Cb26xlNqtypeO$3"/>
    <hyperlink ref="H36" r:id="rId34" location="concept/details/15e9copzX9ZQ9Zumv2tqbZ" display="http://bsdd.buildingsmart.org/ - concept/details/15e9copzX9ZQ9Zumv2tqbZ"/>
    <hyperlink ref="H37" r:id="rId35" location="concept/details/1gyhpDawfBxx4bMbEeZ$Pq" display="http://bsdd.buildingsmart.org/ - concept/details/1gyhpDawfBxx4bMbEeZ$Pq"/>
    <hyperlink ref="H38" r:id="rId36" location="concept/details/1l6W3jPzT8Ov7q5DnSm4Hf" display="http://bsdd.buildingsmart.org/ - concept/details/1l6W3jPzT8Ov7q5DnSm4Hf"/>
    <hyperlink ref="H39" r:id="rId37" location="concept/details/3OWKryhQ57Tv23aBETv2fX" display="http://bsdd.buildingsmart.org/ - concept/details/3OWKryhQ57Tv23aBETv2fX"/>
    <hyperlink ref="H40" r:id="rId38" location="concept/details/30WOOURs1CvQdsoIqeIK9u" display="http://bsdd.buildingsmart.org/ - concept/details/30WOOURs1CvQdsoIqeIK9u"/>
    <hyperlink ref="H41" r:id="rId39" location="concept/details/2_Y3IntAfBGw93daNQP1Ez" display="http://bsdd.buildingsmart.org/ - concept/details/2_Y3IntAfBGw93daNQP1Ez"/>
    <hyperlink ref="H42" r:id="rId40" location="concept/details/1Dz0m16q9149EUiTq_CznH" display="http://bsdd.buildingsmart.org/ - concept/details/1Dz0m16q9149EUiTq_CznH"/>
    <hyperlink ref="H43" r:id="rId41" location="concept/details/3NEmW7BXP7l8$tzU$9pVn5" display="http://bsdd.buildingsmart.org/ - concept/details/3NEmW7BXP7l8$tzU$9pVn5"/>
    <hyperlink ref="H44" r:id="rId42" location="concept/details/3OZWEFn7D7Qv2yy8sP4fwc" display="http://bsdd.buildingsmart.org/ - concept/details/3OZWEFn7D7Qv2yy8sP4fwc"/>
    <hyperlink ref="H45" r:id="rId43" location="concept/details/1j0VeTCzD3nBRAPS5orXqK" display="http://bsdd.buildingsmart.org/ - concept/details/1j0VeTCzD3nBRAPS5orXqK"/>
    <hyperlink ref="H46" r:id="rId44" location="concept/details/2AM7HbpDfAFgnFn_0yKEyl" display="http://bsdd.buildingsmart.org/ - concept/details/2AM7HbpDfAFgnFn_0yKEyl"/>
    <hyperlink ref="H47" r:id="rId45" location="concept/details/2wz$1BZnH7Uu6Ovzlat8z4" display="http://bsdd.buildingsmart.org/ - concept/details/2wz$1BZnH7Uu6Ovzlat8z4"/>
    <hyperlink ref="H48" r:id="rId46" location="concept/details/3vHLsWoT0Hsm00051Mm008" display="http://bsdd.buildingsmart.org/ - concept/details/3vHLsWoT0Hsm00051Mm008"/>
    <hyperlink ref="H49" r:id="rId47" location="concept/details/01JCxB9_9FEAPnaHytNm3S" display="http://bsdd.buildingsmart.org/ - concept/details/01JCxB9_9FEAPnaHytNm3S"/>
    <hyperlink ref="H50" r:id="rId48" location="concept/details/27f2fkTV50YwB1IZgMURLa" display="http://bsdd.buildingsmart.org/ - concept/details/27f2fkTV50YwB1IZgMURLa"/>
    <hyperlink ref="H51" r:id="rId49" location="concept/details/0OTOYxRGvC9e3nXFBQfpnk" display="http://bsdd.buildingsmart.org/ - concept/details/0OTOYxRGvC9e3nXFBQfpnk"/>
    <hyperlink ref="H52" r:id="rId50" location="concept/details/3vHcVCoT0Hsm00051Mm008" display="http://bsdd.buildingsmart.org/ - concept/details/3vHcVCoT0Hsm00051Mm008"/>
    <hyperlink ref="H53" r:id="rId51" location="concept/details/3vHdNIoT0Hsm00051Mm008" display="http://bsdd.buildingsmart.org/ - concept/details/3vHdNIoT0Hsm00051Mm008"/>
    <hyperlink ref="H54" r:id="rId52" location="concept/details/1Mx0YpLtX5MxXy0EABAob$" display="http://bsdd.buildingsmart.org/ - concept/details/1Mx0YpLtX5MxXy0EABAob$"/>
    <hyperlink ref="H55" r:id="rId53" location="concept/details/1r574QJwLBcPY7LGZoylkX" display="http://bsdd.buildingsmart.org/ - concept/details/1r574QJwLBcPY7LGZoylkX"/>
    <hyperlink ref="H56" r:id="rId54" location="concept/details/3MdppfwZn1jv0sVMrVc6z0" display="http://bsdd.buildingsmart.org/ - concept/details/3MdppfwZn1jv0sVMrVc6z0"/>
    <hyperlink ref="H57" r:id="rId55" location="concept/details/2qg73FfIX6_v8VTtgcmQU5" display="http://bsdd.buildingsmart.org/ - concept/details/2qg73FfIX6_v8VTtgcmQU5"/>
    <hyperlink ref="H58" r:id="rId56" location="concept/details/0qvuyfVsXEW95YRWQiKGH7" display="http://bsdd.buildingsmart.org/ - concept/details/0qvuyfVsXEW95YRWQiKGH7"/>
    <hyperlink ref="H59" r:id="rId57" location="concept/details/13dU23KXP1pe4YFB3eg6NB" display="http://bsdd.buildingsmart.org/ - concept/details/13dU23KXP1pe4YFB3eg6NB"/>
    <hyperlink ref="H60" r:id="rId58" location="concept/details/14QkbnyFr0bgWyU0pURpX5" display="http://bsdd.buildingsmart.org/ - concept/details/14QkbnyFr0bgWyU0pURpX5"/>
    <hyperlink ref="H61" r:id="rId59" location="concept/details/05g8ZHoc5629gAwI4FzXKo" display="http://bsdd.buildingsmart.org/ - concept/details/05g8ZHoc5629gAwI4FzXKo"/>
    <hyperlink ref="H62" r:id="rId60" location="concept/details/0rO5hENaL0Sx5ncSZm5QWi" display="http://bsdd.buildingsmart.org/ - concept/details/0rO5hENaL0Sx5ncSZm5QWi"/>
    <hyperlink ref="H63" r:id="rId61" location="concept/details/3vHdccoT0Hsm00051Mm008" display="http://bsdd.buildingsmart.org/ - concept/details/3vHdccoT0Hsm00051Mm008"/>
    <hyperlink ref="H64" r:id="rId62" location="concept/details/1mjA_uPnj0pPfqx4tpsO4J" display="http://bsdd.buildingsmart.org/ - concept/details/1mjA_uPnj0pPfqx4tpsO4J"/>
    <hyperlink ref="H65" r:id="rId63" location="concept/details/2AM7HbpDfAFgnFn_0yKEyl" display="http://bsdd.buildingsmart.org/ - concept/details/2AM7HbpDfAFgnFn_0yKEyl"/>
    <hyperlink ref="H66" r:id="rId64" location="concept/details/3vHPwWoT0Hsm00051Mm008" display="http://bsdd.buildingsmart.org/ - concept/details/3vHPwWoT0Hsm00051Mm008"/>
    <hyperlink ref="H67" r:id="rId65" location="concept/details/3vHcokoT0Hsm00051Mm008" display="http://bsdd.buildingsmart.org/ - concept/details/3vHcokoT0Hsm00051Mm008"/>
    <hyperlink ref="H68" r:id="rId66" location="concept/details/37bp3WfID3Ke_Jujl0x7ve" display="http://bsdd.buildingsmart.org/ - concept/details/37bp3WfID3Ke_Jujl0x7ve"/>
    <hyperlink ref="H69" r:id="rId67" location="concept/details/3vHbtWoT0Hsm00051Mm008" display="http://bsdd.buildingsmart.org/ - concept/details/3vHbtWoT0Hsm00051Mm008"/>
    <hyperlink ref="H70" r:id="rId68" location="concept/details/2CemW1O$H3sPztwCpvLdCo" display="http://bsdd.buildingsmart.org/ - concept/details/2CemW1O$H3sPztwCpvLdCo"/>
    <hyperlink ref="H71" r:id="rId69" location="concept/details/2dQA9mOoXBk8qv6Y9aSxTC" display="http://bsdd.buildingsmart.org/ - concept/details/2dQA9mOoXBk8qv6Y9aSxTC"/>
    <hyperlink ref="H72" r:id="rId70" location="concept/details/2Eev6wD_LBCxUFj6sKGwTW" display="http://bsdd.buildingsmart.org/ - concept/details/2Eev6wD_LBCxUFj6sKGwTW"/>
    <hyperlink ref="H73" r:id="rId71" location="concept/details/2vbgD_0Aj6wgahmaNW2f9k" display="http://bsdd.buildingsmart.org/ - concept/details/2vbgD_0Aj6wgahmaNW2f9k"/>
    <hyperlink ref="H74" r:id="rId72" location="concept/details/3K1xegFzH0sBbcBGqEK2gd" display="http://bsdd.buildingsmart.org/ - concept/details/3K1xegFzH0sBbcBGqEK2gd"/>
    <hyperlink ref="H75" r:id="rId73" location="concept/details/3cahuh$c1979M3z6LXQ2im" display="http://bsdd.buildingsmart.org/ - concept/details/3cahuh$c1979M3z6LXQ2im"/>
    <hyperlink ref="H76" r:id="rId74" location="concept/details/3vHNf_oT0Hsm00051Mm008" display="http://bsdd.buildingsmart.org/ - concept/details/3vHNf_oT0Hsm00051Mm008"/>
    <hyperlink ref="H77" r:id="rId75" location="concept/details/1V_7C7sZD1Lfhv9UdcGRtk" display="http://bsdd.buildingsmart.org/ - concept/details/1V_7C7sZD1Lfhv9UdcGRtk"/>
    <hyperlink ref="H78" r:id="rId76" location="concept/details/39P8INeF1DvPcZnWFCA0jO" display="http://bsdd.buildingsmart.org/ - concept/details/39P8INeF1DvPcZnWFCA0jO"/>
    <hyperlink ref="H79" r:id="rId77" location="concept/details/1WO2nIzLLFL9UsDFNObJwk" display="http://bsdd.buildingsmart.org/ - concept/details/1WO2nIzLLFL9UsDFNObJwk"/>
    <hyperlink ref="H80" r:id="rId78" location="concept/details/2ipzuykAv3bhlHn72OW_XD" display="http://bsdd.buildingsmart.org/ - concept/details/2ipzuykAv3bhlHn72OW_XD"/>
    <hyperlink ref="H81" r:id="rId79" location="concept/details/2$2dVbLAXC3fPrg$4cA_ca" display="http://bsdd.buildingsmart.org/ - concept/details/2$2dVbLAXC3fPrg$4cA_ca"/>
    <hyperlink ref="H82" r:id="rId80" location="concept/details/3vHSkCoT0Hsm00051Mm008" display="http://bsdd.buildingsmart.org/ - concept/details/3vHSkCoT0Hsm00051Mm008"/>
    <hyperlink ref="H83" r:id="rId81" location="concept/details/0AfG_0gSCHtW00025QrE$V" display="http://bsdd.buildingsmart.org/ - concept/details/0AfG_0gSCHtW00025QrE$V"/>
    <hyperlink ref="H84" r:id="rId82" location="concept/details/3vHYr8oT0Hsm00051Mm008" display="http://bsdd.buildingsmart.org/ - concept/details/3vHYr8oT0Hsm00051Mm008"/>
    <hyperlink ref="H85" r:id="rId83" location="concept/details/3vHYr8oT0Hsm00051Mm008" display="http://bsdd.buildingsmart.org/ - concept/details/3vHYr8oT0Hsm00051Mm008"/>
    <hyperlink ref="H86" r:id="rId84" location="concept/details/3Hvwx39_rCaRS49F4qRGBb" display="http://bsdd.buildingsmart.org/ - concept/details/3Hvwx39_rCaRS49F4qRGBb"/>
    <hyperlink ref="H87" r:id="rId85" location="concept/details/1roIuYcU5AxfQM_Wf18q7t" display="http://bsdd.buildingsmart.org/ - concept/details/1roIuYcU5AxfQM_Wf18q7t"/>
    <hyperlink ref="H88" r:id="rId86" location="concept/details/3KXVItW9L4tQmKl_a8aQuq" display="http://bsdd.buildingsmart.org/ - concept/details/3KXVItW9L4tQmKl_a8aQuq"/>
    <hyperlink ref="H89" r:id="rId87" location="concept/details/1y1tW0WJmHu000025QrE$V" display="http://bsdd.buildingsmart.org/ - concept/details/1y1tW0WJmHu000025QrE$V"/>
    <hyperlink ref="H90" r:id="rId88" location="concept/details/3_T7f4cxzB_ur2vAtd6pJe" display="http://bsdd.buildingsmart.org/ - concept/details/3_T7f4cxzB_ur2vAtd6pJe"/>
    <hyperlink ref="H91" r:id="rId89" location="concept/details/2ia4wPKHr2tfqHyjmgEEgN" display="http://bsdd.buildingsmart.org/ - concept/details/2ia4wPKHr2tfqHyjmgEEgN"/>
    <hyperlink ref="H92" r:id="rId90" location="concept/details/2rxH6sXrf58R8wb7sti3Xk" display="http://bsdd.buildingsmart.org/ - concept/details/2rxH6sXrf58R8wb7sti3Xk"/>
    <hyperlink ref="H93" r:id="rId91" location="concept/details/1Bn5py9Rj86QeJu3k8klY6" display="http://bsdd.buildingsmart.org/ - concept/details/1Bn5py9Rj86QeJu3k8klY6"/>
    <hyperlink ref="H94" r:id="rId92" location="concept/details/0G1Nu0VSmHtm00025QrE$V" display="http://bsdd.buildingsmart.org/ - concept/details/0G1Nu0VSmHtm00025QrE$V"/>
    <hyperlink ref="H95" r:id="rId93" location="concept/details/2RnPDEHq50swQVkiJ794Nk" display="http://bsdd.buildingsmart.org/ - concept/details/2RnPDEHq50swQVkiJ794Nk"/>
    <hyperlink ref="H96" r:id="rId94" location="concept/details/1F62_ImpX1j8Xjz71CoAof" display="http://bsdd.buildingsmart.org/ - concept/details/1F62_ImpX1j8Xjz71CoAof"/>
    <hyperlink ref="H97" r:id="rId95" location="concept/details/1uS$40WJmHu000025QrE$V" display="http://bsdd.buildingsmart.org/ - concept/details/1uS$40WJmHu000025QrE$V"/>
    <hyperlink ref="H98" r:id="rId96" location="concept/details/1hs5sBohnAq9SCFCrKsO3f" display="http://bsdd.buildingsmart.org/ - concept/details/1hs5sBohnAq9SCFCrKsO3f"/>
    <hyperlink ref="H99" r:id="rId97" location="concept/details/0cNoBW_tX4QwcRtQdE32Cr" display="http://bsdd.buildingsmart.org/ - concept/details/0cNoBW_tX4QwcRtQdE32Cr"/>
    <hyperlink ref="H100" r:id="rId98" location="concept/details/3BJxV2EdfBgwJiD5j4XEgk" display="http://bsdd.buildingsmart.org/ - concept/details/3BJxV2EdfBgwJiD5j4XEgk"/>
    <hyperlink ref="H101" r:id="rId99" location="concept/details/2lufsAWJmHu000025QrE$V" display="http://bsdd.buildingsmart.org/ - concept/details/2lufsAWJmHu000025QrE$V"/>
    <hyperlink ref="H102" r:id="rId100" location="concept/details/204Zw8d4b7chHVNZcFDc2D" display="http://bsdd.buildingsmart.org/ - concept/details/204Zw8d4b7chHVNZcFDc2D"/>
    <hyperlink ref="H103" r:id="rId101" location="concept/details/2lIWS0WJmHu000025QrE$V" display="http://bsdd.buildingsmart.org/ - concept/details/2lIWS0WJmHu000025QrE$V"/>
    <hyperlink ref="H104" r:id="rId102" location="concept/details/1wss_JRyD6exbCClZyIwgd" display="http://bsdd.buildingsmart.org/ - concept/details/1wss_JRyD6exbCClZyIwgd"/>
    <hyperlink ref="H105" r:id="rId103" location="concept/details/3vHOZ0oT0Hsm00051Mm008" display="http://bsdd.buildingsmart.org/ - concept/details/3vHOZ0oT0Hsm00051Mm008"/>
    <hyperlink ref="H106" r:id="rId104" location="concept/details/3vHImYoT0Hsm00051Mm008" display="http://bsdd.buildingsmart.org/ - concept/details/3vHImYoT0Hsm00051Mm008"/>
    <hyperlink ref="H107" r:id="rId105" location="concept/details/3vHImYoT0Hsm00051Mm008" display="http://bsdd.buildingsmart.org/ - concept/details/3vHImYoT0Hsm00051Mm008"/>
    <hyperlink ref="H108" r:id="rId106" location="concept/details/3u5hyc4z1AnPhLrBZdbSAI" display="http://bsdd.buildingsmart.org/ - concept/details/3u5hyc4z1AnPhLrBZdbSAI"/>
    <hyperlink ref="H109" r:id="rId107" location="concept/details/33N$I017CHtm00025QrE$V" display="http://bsdd.buildingsmart.org/ - concept/details/33N$I017CHtm00025QrE$V"/>
    <hyperlink ref="H110" r:id="rId108" location="concept/details/0RD2s03cuHtm00025QrE$V" display="http://bsdd.buildingsmart.org/ - concept/details/0RD2s03cuHtm00025QrE$V"/>
    <hyperlink ref="H111" r:id="rId109" location="concept/details/0RD2s03cuHtm00025QrE$V" display="http://bsdd.buildingsmart.org/ - concept/details/0RD2s03cuHtm00025QrE$V"/>
    <hyperlink ref="H112" r:id="rId110" location="concept/details/3prQAAWJmHu000025QrE$V" display="http://bsdd.buildingsmart.org/ - concept/details/3prQAAWJmHu000025QrE$V"/>
    <hyperlink ref="H113" r:id="rId111" location="concept/details/3prQAAWJmHu000025QrE$V" display="http://bsdd.buildingsmart.org/ - concept/details/3prQAAWJmHu000025QrE$V"/>
    <hyperlink ref="H114" r:id="rId112" location="concept/details/3vHWUCoT0Hsm00051Mm008" display="http://bsdd.buildingsmart.org/ - concept/details/3vHWUCoT0Hsm00051Mm008"/>
    <hyperlink ref="H115" r:id="rId113" location="concept/details/3vHMyCoT0Hsm00051Mm008" display="http://bsdd.buildingsmart.org/ - concept/details/3vHMyCoT0Hsm00051Mm008"/>
    <hyperlink ref="H116" r:id="rId114" location="concept/details/3vHIhsoT0Hsm00051Mm008" display="http://bsdd.buildingsmart.org/ - concept/details/3vHIhsoT0Hsm00051Mm008"/>
    <hyperlink ref="H117" r:id="rId115" location="concept/details/2PWRkm7c14DPitl9Mn16dS" display="http://bsdd.buildingsmart.org/ - concept/details/2PWRkm7c14DPitl9Mn16dS"/>
    <hyperlink ref="H118" r:id="rId116" location="concept/details/0rPAiVTPv6M9RsZTWF_9mU" display="http://bsdd.buildingsmart.org/ - concept/details/0rPAiVTPv6M9RsZTWF_9mU"/>
    <hyperlink ref="H119" r:id="rId117" location="concept/details/3wO1mAWJGHu000025QrE$V" display="http://bsdd.buildingsmart.org/ - concept/details/3wO1mAWJGHu000025QrE$V"/>
    <hyperlink ref="H120" r:id="rId118" location="concept/details/2qfr6AWJmHu000025QrE$V" display="http://bsdd.buildingsmart.org/ - concept/details/2qfr6AWJmHu000025QrE$V"/>
    <hyperlink ref="H121" r:id="rId119" location="concept/details/1IynJ2VFX7pgNRxjni6K5K" display="http://bsdd.buildingsmart.org/ - concept/details/1IynJ2VFX7pgNRxjni6K5K"/>
    <hyperlink ref="H122" r:id="rId120" location="concept/details/3eoaI0WJCHu000025QrE$V" display="http://bsdd.buildingsmart.org/ - concept/details/3eoaI0WJCHu000025QrE$V"/>
    <hyperlink ref="H123" r:id="rId121" location="concept/details/0Up5U_4C97oRePLAOUBzvf" display="http://bsdd.buildingsmart.org/ - concept/details/0Up5U_4C97oRePLAOUBzvf"/>
    <hyperlink ref="H124" r:id="rId122" location="concept/details/1gSA40WJaHu000025QrE$V" display="http://bsdd.buildingsmart.org/ - concept/details/1gSA40WJaHu000025QrE$V"/>
    <hyperlink ref="H125" r:id="rId123" location="concept/details/0bv2zpjVv7ZRLUSrKLhjbl" display="http://bsdd.buildingsmart.org/ - concept/details/0bv2zpjVv7ZRLUSrKLhjbl"/>
    <hyperlink ref="H126" r:id="rId124" location="concept/details/1v1Ntv0Hb4mxDz06pDwdkc" display="http://bsdd.buildingsmart.org/ - concept/details/1v1Ntv0Hb4mxDz06pDwdkc"/>
    <hyperlink ref="H127" r:id="rId125" location="concept/details/2qAcUNUDTCUul2RQzCMBXD" display="http://bsdd.buildingsmart.org/ - concept/details/2qAcUNUDTCUul2RQzCMBXD"/>
    <hyperlink ref="H128" r:id="rId126" location="concept/details/13nS8IXDj1jxpos0P7mTG_" display="http://bsdd.buildingsmart.org/ - concept/details/13nS8IXDj1jxpos0P7mTG_"/>
    <hyperlink ref="H129" r:id="rId127" location="concept/details/0kpjo0qVyHuO00025QrE$V" display="http://bsdd.buildingsmart.org/ - concept/details/0kpjo0qVyHuO00025QrE$V"/>
    <hyperlink ref="H130" r:id="rId128" location="concept/details/08k5hSAWD5m9CbfFE5s2Qn" display="http://bsdd.buildingsmart.org/ - concept/details/08k5hSAWD5m9CbfFE5s2Qn"/>
    <hyperlink ref="H131" r:id="rId129" location="concept/details/28TxPNfob5gRsy7JCW5Usq" display="http://bsdd.buildingsmart.org/ - concept/details/28TxPNfob5gRsy7JCW5Usq"/>
    <hyperlink ref="H132" r:id="rId130" location="concept/details/3vHPy4oT0Hsm00051Mm008" display="http://bsdd.buildingsmart.org/ - concept/details/3vHPy4oT0Hsm00051Mm008"/>
    <hyperlink ref="H133" r:id="rId131" location="concept/details/3vHYA0oT0Hsm00051Mm008" display="http://bsdd.buildingsmart.org/ - concept/details/3vHYA0oT0Hsm00051Mm008"/>
    <hyperlink ref="H134" r:id="rId132" location="concept/details/2WcFEBj7H9wwoH1JFWqC9i" display="http://bsdd.buildingsmart.org/ - concept/details/2WcFEBj7H9wwoH1JFWqC9i"/>
    <hyperlink ref="H135" r:id="rId133" location="concept/details/0d9B5ip0r8xOYHfTyRFeZb" display="http://bsdd.buildingsmart.org/ - concept/details/0d9B5ip0r8xOYHfTyRFeZb"/>
    <hyperlink ref="H136" r:id="rId134" location="concept/details/3ehZ$GpkL5svFnWavl8o5n" display="http://bsdd.buildingsmart.org/ - concept/details/3ehZ$GpkL5svFnWavl8o5n"/>
    <hyperlink ref="H137" r:id="rId135" location="concept/details/1BRKvpGP9AA9Mw$GCAbn0Q" display="http://bsdd.buildingsmart.org/ - concept/details/1BRKvpGP9AA9Mw$GCAbn0Q"/>
    <hyperlink ref="H138" r:id="rId136" location="concept/details/3vHRZWoT0Hsm00051Mm008" display="http://bsdd.buildingsmart.org/ - concept/details/3vHRZWoT0Hsm00051Mm008"/>
    <hyperlink ref="H139" r:id="rId137" location="concept/details/30Ez0HE6XAHQh6wJkRK6T$" display="http://bsdd.buildingsmart.org/ - concept/details/30Ez0HE6XAHQh6wJkRK6T$"/>
    <hyperlink ref="H140" r:id="rId138" location="concept/details/0mzPWBsGr4LuMN0xnPPUd7" display="http://bsdd.buildingsmart.org/ - concept/details/0mzPWBsGr4LuMN0xnPPUd7"/>
    <hyperlink ref="H141" r:id="rId139" location="concept/details/3vHI$ioT0Hsm00051Mm008" display="http://bsdd.buildingsmart.org/ - concept/details/3vHI$ioT0Hsm00051Mm008"/>
    <hyperlink ref="H142" r:id="rId140" location="concept/details/0lQ3Z0cp9A5x7MoXZ$4MQj" display="http://bsdd.buildingsmart.org/ - concept/details/0lQ3Z0cp9A5x7MoXZ$4MQj"/>
    <hyperlink ref="H143" r:id="rId141" location="concept/details/3vHMLmoT0Hsm00051Mm008" display="http://bsdd.buildingsmart.org/ - concept/details/3vHMLmoT0Hsm00051Mm008"/>
    <hyperlink ref="H144" r:id="rId142" location="concept/details/3vHItQoT0Hsm00051Mm008" display="http://bsdd.buildingsmart.org/ - concept/details/3vHItQoT0Hsm00051Mm008"/>
    <hyperlink ref="H145" r:id="rId143" location="concept/details/1NHVWMKi50FgFqViJAbeDK" display="http://bsdd.buildingsmart.org/ - concept/details/1NHVWMKi50FgFqViJAbeDK"/>
    <hyperlink ref="H146" r:id="rId144" location="concept/details/3vHSO0oT0Hsm00051Mm008" display="http://bsdd.buildingsmart.org/ - concept/details/3vHSO0oT0Hsm00051Mm008"/>
    <hyperlink ref="H147" r:id="rId145" location="concept/details/03Te2gGVf08giGetx6rtj3" display="http://bsdd.buildingsmart.org/ - concept/details/03Te2gGVf08giGetx6rtj3"/>
    <hyperlink ref="R147" r:id="rId146" display="http://www.buildingsmart-tech.org/ifc/IFC4/final/html/schema/ifcsharedcomponentelements/lexical/ifcdiscreteaccessorytype.htm"/>
    <hyperlink ref="H148" r:id="rId147" location="concept/details/3vHTbqoT0Hsm00051Mm008" display="http://bsdd.buildingsmart.org/ - concept/details/3vHTbqoT0Hsm00051Mm008"/>
    <hyperlink ref="H149" r:id="rId148" location="concept/details/3vHTuaoT0Hsm00051Mm008" display="http://bsdd.buildingsmart.org/ - concept/details/3vHTuaoT0Hsm00051Mm008"/>
    <hyperlink ref="R149" r:id="rId149" display="http://www.buildingsmart-tech.org/ifc/IFC4/final/html/schema/ifcsharedcomponentelements/lexical/ifcdiscreteaccessorytype.htm"/>
    <hyperlink ref="H150" r:id="rId150" location="concept/details/0eZIE3XjrEIO8cAAJypaPL" display="http://bsdd.buildingsmart.org/ - concept/details/0eZIE3XjrEIO8cAAJypaPL"/>
    <hyperlink ref="H151" r:id="rId151" location="concept/details/33_Cp8Siz5Tvoj9lyNDw_i" display="http://bsdd.buildingsmart.org/ - concept/details/33_Cp8Siz5Tvoj9lyNDw_i"/>
    <hyperlink ref="H152" r:id="rId152" location="concept/details/3vHQHyoT0Hsm00051Mm008" display="http://bsdd.buildingsmart.org/ - concept/details/3vHQHyoT0Hsm00051Mm008"/>
    <hyperlink ref="H153" r:id="rId153" location="concept/details/3vHZ3MoT0Hsm00051Mm008" display="http://bsdd.buildingsmart.org/ - concept/details/3vHZ3MoT0Hsm00051Mm008"/>
    <hyperlink ref="H154" r:id="rId154" location="concept/details/2IIWt44wrCUful2IrP_hqz" display="http://bsdd.buildingsmart.org/ - concept/details/2IIWt44wrCUful2IrP_hqz"/>
    <hyperlink ref="H155" r:id="rId155" location="concept/details/1PPBvhCWXA9An4LHI92v0E" display="http://bsdd.buildingsmart.org/ - concept/details/1PPBvhCWXA9An4LHI92v0E"/>
    <hyperlink ref="H156" r:id="rId156" location="concept/details/1mvvLDIVDEFOKOfUsbIiJI" display="http://bsdd.buildingsmart.org/ - concept/details/1mvvLDIVDEFOKOfUsbIiJI"/>
    <hyperlink ref="H157" r:id="rId157" location="concept/details/3vHKVyoT0Hsm00051Mm008" display="http://bsdd.buildingsmart.org/ - concept/details/3vHKVyoT0Hsm00051Mm008"/>
    <hyperlink ref="H158" r:id="rId158" location="concept/details/1tGdd84wH87heHv9AmS$7L" display="http://bsdd.buildingsmart.org/ - concept/details/1tGdd84wH87heHv9AmS$7L"/>
    <hyperlink ref="H159" r:id="rId159" location="concept/details/0lsI5XMGr7dPIgHxBC8xbz" display="http://bsdd.buildingsmart.org/ - concept/details/0lsI5XMGr7dPIgHxBC8xbz"/>
    <hyperlink ref="H160" r:id="rId160" location="concept/details/01eK_pAr517gZGhYIZZ85o" display="http://bsdd.buildingsmart.org/ - concept/details/01eK_pAr517gZGhYIZZ85o"/>
    <hyperlink ref="H161" r:id="rId161" location="concept/details/1L$ZAZgO5DdQlYqPdxfBJI" display="http://bsdd.buildingsmart.org/ - concept/details/1L$ZAZgO5DdQlYqPdxfBJI"/>
    <hyperlink ref="H162" r:id="rId162" location="concept/details/13ccWJEsT2xBANyq$VdmGN" display="http://bsdd.buildingsmart.org/ - concept/details/13ccWJEsT2xBANyq$VdmGN"/>
    <hyperlink ref="H163" r:id="rId163" location="concept/details/0WVoW8NW5EjwR5_ydbBp33" display="http://bsdd.buildingsmart.org/ - concept/details/0WVoW8NW5EjwR5_ydbBp33"/>
    <hyperlink ref="H164" r:id="rId164" location="concept/details/06L4HtKIDDkw3BV7xAZJwZ" display="http://bsdd.buildingsmart.org/ - concept/details/06L4HtKIDDkw3BV7xAZJwZ"/>
    <hyperlink ref="H165" r:id="rId165" location="concept/details/3cKim0GJf3mxz7EqVVfQ8u" display="http://bsdd.buildingsmart.org/ - concept/details/3cKim0GJf3mxz7EqVVfQ8u"/>
    <hyperlink ref="H166" r:id="rId166" location="concept/details/3vHJ2qoT0Hsm00051Mm008" display="http://bsdd.buildingsmart.org/ - concept/details/3vHJ2qoT0Hsm00051Mm008"/>
    <hyperlink ref="H167" r:id="rId167" location="concept/details/0mUKjuFon6qw180D82myIE" display="http://bsdd.buildingsmart.org/ - concept/details/0mUKjuFon6qw180D82myIE"/>
    <hyperlink ref="H168" r:id="rId168" location="concept/details/0c4pwAVSmHtm00025QrE$V" display="http://bsdd.buildingsmart.org/ - concept/details/0c4pwAVSmHtm00025QrE$V"/>
    <hyperlink ref="H169" r:id="rId169" location="concept/details/2Mm1zm1FDAQfN6GqAxlwv9" display="http://bsdd.buildingsmart.org/ - concept/details/2Mm1zm1FDAQfN6GqAxlwv9"/>
    <hyperlink ref="H170" r:id="rId170" location="concept/details/3nexOXeJ5DGfLtLuVOPB5K" display="http://bsdd.buildingsmart.org/ - concept/details/3nexOXeJ5DGfLtLuVOPB5K"/>
    <hyperlink ref="H171" r:id="rId171" location="concept/details/3vHOyyoT0Hsm00051Mm008" display="http://bsdd.buildingsmart.org/ - concept/details/3vHOyyoT0Hsm00051Mm008"/>
    <hyperlink ref="H172" r:id="rId172" location="concept/details/3vHKVyoT0Hsm00051Mm008" display="http://bsdd.buildingsmart.org/ - concept/details/3vHKVyoT0Hsm00051Mm008"/>
    <hyperlink ref="H173" r:id="rId173" location="concept/details/0c4pwAVSmHtm00025QrE$V" display="http://bsdd.buildingsmart.org/ - concept/details/0c4pwAVSmHtm00025QrE$V"/>
    <hyperlink ref="H174" r:id="rId174" location="concept/details/3RCjP5jz5BNRUyQXH0F_Df" display="http://bsdd.buildingsmart.org/ - concept/details/3RCjP5jz5BNRUyQXH0F_Df"/>
    <hyperlink ref="H175" r:id="rId175" location="concept/details/3vPbifqoLE89$CC3OACl0U" display="http://bsdd.buildingsmart.org/ - concept/details/3vPbifqoLE89$CC3OACl0U"/>
    <hyperlink ref="H176" r:id="rId176" location="concept/details/0bfJPNd1T2Yud0_mvvn7N_" display="http://bsdd.buildingsmart.org/ - concept/details/0bfJPNd1T2Yud0_mvvn7N_"/>
    <hyperlink ref="H177" r:id="rId177" location="concept/details/0_mcU_ARfALQbAb$1YbnG$" display="http://bsdd.buildingsmart.org/ - concept/details/0_mcU_ARfALQbAb$1YbnG$"/>
    <hyperlink ref="Q177" r:id="rId178" display="http://www.buildingsmart-tech.org/ifc/IFC4/final/html/schema/ifcplumbingfireprotectiondomain/lexical/ifcstackterminal.htm"/>
    <hyperlink ref="H178" r:id="rId179" location="concept/details/3vHQHyoT0Hsm00051Mm008" display="http://bsdd.buildingsmart.org/ - concept/details/3vHQHyoT0Hsm00051Mm008"/>
    <hyperlink ref="H179" r:id="rId180" location="concept/details/3vHZ3MoT0Hsm00051Mm008" display="http://bsdd.buildingsmart.org/ - concept/details/3vHZ3MoT0Hsm00051Mm008"/>
    <hyperlink ref="H180" r:id="rId181" location="concept/details/0XerFNHajElOSHTFTZJ8vm" display="http://bsdd.buildingsmart.org/ - concept/details/0XerFNHajElOSHTFTZJ8vm"/>
    <hyperlink ref="H181" r:id="rId182" location="concept/details/2rFrLsEqb1rOnK_pLC7Xfl" display="http://bsdd.buildingsmart.org/ - concept/details/2rFrLsEqb1rOnK_pLC7Xfl"/>
    <hyperlink ref="H182" r:id="rId183" location="concept/details/0pKFerFEPB5OetX3zJ0HJk" display="http://bsdd.buildingsmart.org/ - concept/details/0pKFerFEPB5OetX3zJ0HJk"/>
    <hyperlink ref="H183" r:id="rId184" location="concept/details/3vHaOCoT0Hsm00051Mm008" display="http://bsdd.buildingsmart.org/ - concept/details/3vHaOCoT0Hsm00051Mm008"/>
    <hyperlink ref="H184" r:id="rId185" location="concept/details/3f4Hs1jGL9Og70jld0OI2j" display="http://bsdd.buildingsmart.org/ - concept/details/3f4Hs1jGL9Og70jld0OI2j"/>
    <hyperlink ref="H185" r:id="rId186" location="concept/details/0S7EnC3CfBn8wNMSpFl97g" display="http://bsdd.buildingsmart.org/ - concept/details/0S7EnC3CfBn8wNMSpFl97g"/>
    <hyperlink ref="H186" r:id="rId187" location="concept/details/2GX86nTrD5$wrlGkGNFd6k" display="http://bsdd.buildingsmart.org/ - concept/details/2GX86nTrD5$wrlGkGNFd6k"/>
    <hyperlink ref="H187" r:id="rId188" location="concept/details/3vHWKqoT0Hsm00051Mm008" display="http://bsdd.buildingsmart.org/ - concept/details/3vHWKqoT0Hsm00051Mm008"/>
    <hyperlink ref="H188" r:id="rId189" location="concept/details/1AdBcBzXzA5Bjh3ynJfKW6" display="http://bsdd.buildingsmart.org/ - concept/details/1AdBcBzXzA5Bjh3ynJfKW6"/>
    <hyperlink ref="H189" r:id="rId190" location="concept/details/1Om_jVuavFCAK3tkjj3$dI" display="http://bsdd.buildingsmart.org/ - concept/details/1Om_jVuavFCAK3tkjj3$dI"/>
    <hyperlink ref="H190" r:id="rId191" location="concept/details/11$7PzCX9A3wk0307ECOsY" display="http://bsdd.buildingsmart.org/ - concept/details/11$7PzCX9A3wk0307ECOsY"/>
    <hyperlink ref="H191" r:id="rId192" location="concept/details/2cA4zASJzEUe43oO8s0nfk" display="http://bsdd.buildingsmart.org/ - concept/details/2cA4zASJzEUe43oO8s0nfk"/>
    <hyperlink ref="H192" r:id="rId193" location="concept/details/12SbGgRKn6c9BBHt4VrKUJ" display="http://bsdd.buildingsmart.org/ - concept/details/12SbGgRKn6c9BBHt4VrKUJ"/>
    <hyperlink ref="H193" r:id="rId194" location="concept/details/0AwVLdiHL8xeYYf8G9gtJW" display="http://bsdd.buildingsmart.org/ - concept/details/0AwVLdiHL8xeYYf8G9gtJW"/>
    <hyperlink ref="H194" r:id="rId195" location="concept/details/0yI$M9X6jAgfDpNlsVxVcx" display="http://bsdd.buildingsmart.org/ - concept/details/0yI$M9X6jAgfDpNlsVxVcx"/>
    <hyperlink ref="H197" r:id="rId196" location="concept/details/3vHRPWoT0Hsm00051Mm008" display="http://bsdd.buildingsmart.org/ - concept/details/3vHRPWoT0Hsm00051Mm008"/>
    <hyperlink ref="H198" r:id="rId197" location="concept/details/3vHJeKoT0Hsm00051Mm008" display="http://bsdd.buildingsmart.org/ - concept/details/3vHJeKoT0Hsm00051Mm008"/>
    <hyperlink ref="H199" r:id="rId198" location="concept/details/3zWEUMC_fFeOQql8Y5QrlU" display="http://bsdd.buildingsmart.org/ - concept/details/3zWEUMC_fFeOQql8Y5QrlU"/>
    <hyperlink ref="H200" r:id="rId199" location="concept/details/2JDguXBTf3awJrWW3rd7xz" display="http://bsdd.buildingsmart.org/ - concept/details/2JDguXBTf3awJrWW3rd7xz"/>
    <hyperlink ref="H201" r:id="rId200" location="concept/details/3LSEFBYJ5FHAUKxJnjLtDY" display="http://bsdd.buildingsmart.org/ - concept/details/3LSEFBYJ5FHAUKxJnjLtDY"/>
    <hyperlink ref="H202" r:id="rId201" location="concept/details/1KDQJD8xT4mhK_4yDM4091" display="http://bsdd.buildingsmart.org/ - concept/details/1KDQJD8xT4mhK_4yDM4091"/>
    <hyperlink ref="H203" r:id="rId202" location="concept/details/3e$So2kBv5vu69R4YY9WFo" display="http://bsdd.buildingsmart.org/ - concept/details/3e$So2kBv5vu69R4YY9WFo"/>
    <hyperlink ref="H204" r:id="rId203" location="concept/details/0IRuc0yx17iPG$QIy$Vdg9" display="http://bsdd.buildingsmart.org/ - concept/details/0IRuc0yx17iPG$QIy$Vdg9"/>
    <hyperlink ref="H205" r:id="rId204" location="concept/details/2EtclhqIDDuhc57_KJlicq" display="http://bsdd.buildingsmart.org/ - concept/details/2EtclhqIDDuhc57_KJlicq"/>
    <hyperlink ref="H206" r:id="rId205" location="concept/details/3vHImYoT0Hsm00051Mm008" display="http://bsdd.buildingsmart.org/ - concept/details/3vHImYoT0Hsm00051Mm008"/>
    <hyperlink ref="H207" r:id="rId206" location="concept/details/3ElyYi629AMRtE5IE_ES9d" display="http://bsdd.buildingsmart.org/ - concept/details/3ElyYi629AMRtE5IE_ES9d"/>
    <hyperlink ref="H208" r:id="rId207" location="concept/details/3BS9McWzvDkfImxrMq78md" display="http://bsdd.buildingsmart.org/ - concept/details/3BS9McWzvDkfImxrMq78md"/>
    <hyperlink ref="H209" r:id="rId208" location="concept/details/2eEptgxmf4UQtCuM_XzZKA" display="http://bsdd.buildingsmart.org/ - concept/details/2eEptgxmf4UQtCuM_XzZKA"/>
    <hyperlink ref="H210" r:id="rId209" location="concept/details/0X20MmEBrE8PFCViEF3NSz" display="http://bsdd.buildingsmart.org/ - concept/details/0X20MmEBrE8PFCViEF3NSz"/>
    <hyperlink ref="H211" r:id="rId210" location="concept/details/0EMQ$9__TFmxyjLKqsnlj$" display="http://bsdd.buildingsmart.org/ - concept/details/0EMQ$9__TFmxyjLKqsnlj$"/>
    <hyperlink ref="H212" r:id="rId211" location="concept/details/2Oc7aR$290BONS9maja33W" display="http://bsdd.buildingsmart.org/ - concept/details/2Oc7aR$290BONS9maja33W"/>
    <hyperlink ref="H213" r:id="rId212" location="concept/details/2rnEKxucj3XgDQ66Itv5O5" display="http://bsdd.buildingsmart.org/ - concept/details/2rnEKxucj3XgDQ66Itv5O5"/>
    <hyperlink ref="H214" r:id="rId213" location="concept/details/1bcmcfU856CvgBmSUn6zEM" display="http://bsdd.buildingsmart.org/ - concept/details/1bcmcfU856CvgBmSUn6zEM"/>
    <hyperlink ref="H215" r:id="rId214" location="concept/details/07ZlqHEQj8OwCpTn3MjNoi" display="http://bsdd.buildingsmart.org/ - concept/details/07ZlqHEQj8OwCpTn3MjNoi"/>
    <hyperlink ref="H216" r:id="rId215" location="concept/details/1u4fY7fEL1_AbglpecbGFU" display="http://bsdd.buildingsmart.org/ - concept/details/1u4fY7fEL1_AbglpecbGFU"/>
    <hyperlink ref="H217" r:id="rId216" location="concept/details/1Fz1DdOc9BlRzfCN5wqlKY" display="http://bsdd.buildingsmart.org/ - concept/details/1Fz1DdOc9BlRzfCN5wqlKY"/>
    <hyperlink ref="H218" r:id="rId217" location="concept/details/33N$I017CHtm00025QrE$V" display="http://bsdd.buildingsmart.org/ - concept/details/33N$I017CHtm00025QrE$V"/>
    <hyperlink ref="H219" r:id="rId218" location="concept/details/0M9Zzpmr97EwSbwzLilCeN" display="http://bsdd.buildingsmart.org/ - concept/details/0M9Zzpmr97EwSbwzLilCeN"/>
    <hyperlink ref="H220" r:id="rId219" location="concept/details/2tP5qvaQbF1fsOtw4X2hml" display="http://bsdd.buildingsmart.org/ - concept/details/2tP5qvaQbF1fsOtw4X2hml"/>
    <hyperlink ref="H221" r:id="rId220" location="concept/details/3PcdVC6Z16KgoadvWQs8Wp" display="http://bsdd.buildingsmart.org/ - concept/details/3PcdVC6Z16KgoadvWQs8Wp"/>
    <hyperlink ref="H222" r:id="rId221" location="concept/details/1CmsMn8_TEsOFNgC_LGZyb" display="http://bsdd.buildingsmart.org/ - concept/details/1CmsMn8_TEsOFNgC_LGZyb"/>
    <hyperlink ref="H223" r:id="rId222" location="concept/details/0dvR8vw9z4XgmPHbNGEu7o" display="http://bsdd.buildingsmart.org/ - concept/details/0dvR8vw9z4XgmPHbNGEu7o"/>
    <hyperlink ref="H224" r:id="rId223" location="concept/details/3MAXyAr3HFWRPc8db1O1fj" display="http://bsdd.buildingsmart.org/ - concept/details/3MAXyAr3HFWRPc8db1O1fj"/>
    <hyperlink ref="H225" r:id="rId224" location="concept/details/1hS69PbdvDfgMl0wPsqWHE" display="http://bsdd.buildingsmart.org/ - concept/details/1hS69PbdvDfgMl0wPsqWHE"/>
    <hyperlink ref="H226" r:id="rId225" location="concept/details/2k9fdEZ1nCQf63FCNa_wks" display="http://bsdd.buildingsmart.org/ - concept/details/2k9fdEZ1nCQf63FCNa_wks"/>
    <hyperlink ref="H227" r:id="rId226" location="concept/details/3vHJ6GoT0Hsm00051Mm008" display="http://bsdd.buildingsmart.org/ - concept/details/3vHJ6GoT0Hsm00051Mm008"/>
    <hyperlink ref="H228" r:id="rId227" location="concept/details/3vHTjKoT0Hsm00051Mm008" display="http://bsdd.buildingsmart.org/ - concept/details/3vHTjKoT0Hsm00051Mm008"/>
    <hyperlink ref="H229" r:id="rId228" location="concept/details/2NwOYzzJL1j9_QhPjkYL87" display="http://bsdd.buildingsmart.org/ - concept/details/2NwOYzzJL1j9_QhPjkYL87"/>
    <hyperlink ref="H230" r:id="rId229" location="concept/details/1YsHMrZCPCffMN$qWGLejx" display="http://bsdd.buildingsmart.org/ - concept/details/1YsHMrZCPCffMN$qWGLejx"/>
    <hyperlink ref="H231" r:id="rId230" location="concept/details/2bMlbGlDr9DvtOoAOPR5DR" display="http://bsdd.buildingsmart.org/ - concept/details/2bMlbGlDr9DvtOoAOPR5DR"/>
    <hyperlink ref="H232" r:id="rId231" location="concept/details/0gIUBMeoj4KAIgb61jnorl" display="http://bsdd.buildingsmart.org/ - concept/details/0gIUBMeoj4KAIgb61jnorl"/>
    <hyperlink ref="H233" r:id="rId232" location="concept/details/0$ShCBq911Uv8v52mwqYUe" display="http://bsdd.buildingsmart.org/ - concept/details/0$ShCBq911Uv8v52mwqYUe"/>
    <hyperlink ref="H234" r:id="rId233" location="concept/details/3ynnEfBnbAZQTYOZ2rzCHR" display="http://bsdd.buildingsmart.org/ - concept/details/3ynnEfBnbAZQTYOZ2rzCHR"/>
    <hyperlink ref="H235" r:id="rId234" location="concept/details/2F3ocPCB9AhfPRdvOvsxsP" display="http://bsdd.buildingsmart.org/ - concept/details/2F3ocPCB9AhfPRdvOvsxsP"/>
    <hyperlink ref="H236" r:id="rId235" location="concept/details/3fYqfFkHj3exTr00Kedcir" display="http://bsdd.buildingsmart.org/ - concept/details/3fYqfFkHj3exTr00Kedcir"/>
    <hyperlink ref="H237" r:id="rId236" location="concept/details/0fkmhU6XP4XvybNklVTrnd" display="http://bsdd.buildingsmart.org/ - concept/details/0fkmhU6XP4XvybNklVTrnd"/>
    <hyperlink ref="H238" r:id="rId237" location="concept/details/0zBatPqqf3OhuLw$JgSaXC" display="http://bsdd.buildingsmart.org/ - concept/details/0zBatPqqf3OhuLw$JgSaXC"/>
    <hyperlink ref="H239" r:id="rId238" location="concept/details/3cs3vyWD10kPhZSw8dTdgZ" display="http://bsdd.buildingsmart.org/ - concept/details/3cs3vyWD10kPhZSw8dTdgZ"/>
    <hyperlink ref="H240" r:id="rId239" location="concept/details/0DEZMK5SX0YxWiEHS0AAFD" display="http://bsdd.buildingsmart.org/ - concept/details/0DEZMK5SX0YxWiEHS0AAFD"/>
    <hyperlink ref="H241" r:id="rId240" location="concept/details/0w5ftRivL8g8zyWxOCCKf9" display="http://bsdd.buildingsmart.org/ - concept/details/0w5ftRivL8g8zyWxOCCKf9"/>
    <hyperlink ref="H242" r:id="rId241" location="concept/details/1ad0qxKEzEUf7X22rfdapP" display="http://bsdd.buildingsmart.org/ - concept/details/1ad0qxKEzEUf7X22rfdapP"/>
    <hyperlink ref="H243" r:id="rId242" location="concept/details/3tqg$VpubBguA5E2RY2JFB" display="http://bsdd.buildingsmart.org/ - concept/details/3tqg$VpubBguA5E2RY2JFB"/>
    <hyperlink ref="H244" r:id="rId243" location="concept/details/2stHwngG165gbY4mryXnpp" display="http://bsdd.buildingsmart.org/ - concept/details/2stHwngG165gbY4mryXnpp"/>
    <hyperlink ref="H245" r:id="rId244" location="concept/details/2CyzTzsn557wDuLQR$kTPV" display="http://bsdd.buildingsmart.org/ - concept/details/2CyzTzsn557wDuLQR$kTPV"/>
    <hyperlink ref="H246" r:id="rId245" location="concept/details/0Ed2LTD055hheWwtICwHer" display="http://bsdd.buildingsmart.org/ - concept/details/0Ed2LTD055hheWwtICwHer"/>
    <hyperlink ref="H247" r:id="rId246" location="concept/details/0FFkBH6zb4jxLbglSROX83" display="http://bsdd.buildingsmart.org/ - concept/details/0FFkBH6zb4jxLbglSROX83"/>
    <hyperlink ref="H248" r:id="rId247" location="concept/details/21nDbnq$1EyvTQdN685_Ng" display="http://bsdd.buildingsmart.org/ - concept/details/21nDbnq$1EyvTQdN685_Ng"/>
    <hyperlink ref="H249" r:id="rId248" location="concept/details/1sYmuUM218sOJNC5AxzH7y" display="http://bsdd.buildingsmart.org/ - concept/details/1sYmuUM218sOJNC5AxzH7y"/>
    <hyperlink ref="H250" r:id="rId249" location="concept/details/261TTkom52jP5HvxML_Mmt" display="http://bsdd.buildingsmart.org/ - concept/details/261TTkom52jP5HvxML_Mmt"/>
    <hyperlink ref="H251" r:id="rId250" location="concept/details/3YhqBrh1b7pfV0ia18cT3u" display="http://bsdd.buildingsmart.org/ - concept/details/3YhqBrh1b7pfV0ia18cT3u"/>
    <hyperlink ref="H252" r:id="rId251" location="concept/details/07WWB4$EbEkBPonjPpSixa" display="http://bsdd.buildingsmart.org/ - concept/details/07WWB4$EbEkBPonjPpSixa"/>
    <hyperlink ref="H253" r:id="rId252" location="concept/details/0RD2s03cuHtm00025QrE$V" display="http://bsdd.buildingsmart.org/ - concept/details/0RD2s03cuHtm00025QrE$V"/>
    <hyperlink ref="H254" r:id="rId253" location="concept/details/2jUxt0mrzEafsWioRJHufE" display="http://bsdd.buildingsmart.org/ - concept/details/2jUxt0mrzEafsWioRJHufE"/>
    <hyperlink ref="H255" r:id="rId254" location="concept/details/0ZlpWCzI5CSRbCotFF7H8G" display="http://bsdd.buildingsmart.org/ - concept/details/0ZlpWCzI5CSRbCotFF7H8G"/>
    <hyperlink ref="H256" r:id="rId255" location="concept/details/2jTiagbH96wBuf5tVceOCR" display="http://bsdd.buildingsmart.org/ - concept/details/2jTiagbH96wBuf5tVceOCR"/>
    <hyperlink ref="H257" r:id="rId256" location="concept/details/1gJjSu48D4DQQ1zG5xqX0K" display="http://bsdd.buildingsmart.org/ - concept/details/1gJjSu48D4DQQ1zG5xqX0K"/>
    <hyperlink ref="H258" r:id="rId257" location="concept/details/2wp1FvC512sR4nwYKbWN1O" display="http://bsdd.buildingsmart.org/ - concept/details/2wp1FvC512sR4nwYKbWN1O"/>
    <hyperlink ref="H259" r:id="rId258" location="concept/details/0$Trp7rBD3_9Q59tP7sonu" display="http://bsdd.buildingsmart.org/ - concept/details/0$Trp7rBD3_9Q59tP7sonu"/>
    <hyperlink ref="H260" r:id="rId259" location="concept/details/3vHKN_oT0Hsm00051Mm008" display="http://bsdd.buildingsmart.org/ - concept/details/3vHKN_oT0Hsm00051Mm008"/>
    <hyperlink ref="H261" r:id="rId260" location="concept/details/2aLPe$yNb8gxQpl1QGcgOO" display="http://bsdd.buildingsmart.org/ - concept/details/2aLPe$yNb8gxQpl1QGcgOO"/>
    <hyperlink ref="H262" r:id="rId261" location="concept/details/16FUvDcKr5TQWymvZjbj9z" display="http://bsdd.buildingsmart.org/ - concept/details/16FUvDcKr5TQWymvZjbj9z"/>
    <hyperlink ref="H263" r:id="rId262" location="concept/details/0ql_i0YAf06wrF4ai7ewPt" display="http://bsdd.buildingsmart.org/ - concept/details/0ql_i0YAf06wrF4ai7ewPt"/>
    <hyperlink ref="H264" r:id="rId263" location="concept/details/0yuCTRH7jAN9oZ7gSHW$Kw" display="http://bsdd.buildingsmart.org/ - concept/details/0yuCTRH7jAN9oZ7gSHW$Kw"/>
    <hyperlink ref="H265" r:id="rId264" location="concept/details/3vHTfGoT0Hsm00051Mm008" display="http://bsdd.buildingsmart.org/ - concept/details/3vHTfGoT0Hsm00051Mm008"/>
    <hyperlink ref="H266" r:id="rId265" location="concept/details/2LPlkjHD14iwkxaRI03uio" display="http://bsdd.buildingsmart.org/ - concept/details/2LPlkjHD14iwkxaRI03uio"/>
    <hyperlink ref="H267" r:id="rId266" location="concept/details/3Yu8XBj1nFTuTiOHINx9Bp" display="http://bsdd.buildingsmart.org/ - concept/details/3Yu8XBj1nFTuTiOHINx9Bp"/>
    <hyperlink ref="H268" r:id="rId267" location="concept/details/1wnY7wLCjBRODT_uRYPFIO" display="http://bsdd.buildingsmart.org/ - concept/details/1wnY7wLCjBRODT_uRYPFIO"/>
    <hyperlink ref="H269" r:id="rId268" location="concept/details/2LCORyGzXAxh4P6XtFd00r" display="http://bsdd.buildingsmart.org/ - concept/details/2LCORyGzXAxh4P6XtFd00r"/>
    <hyperlink ref="H270" r:id="rId269" location="concept/details/0RP5VR2SPFKBriGCkOn9CP" display="http://bsdd.buildingsmart.org/ - concept/details/0RP5VR2SPFKBriGCkOn9CP"/>
    <hyperlink ref="H271" r:id="rId270" location="concept/details/1JMnw8w$TEU8U0joy00rWu" display="http://bsdd.buildingsmart.org/ - concept/details/1JMnw8w$TEU8U0joy00rWu"/>
    <hyperlink ref="H272" r:id="rId271" location="concept/details/3prQAAWJmHu000025QrE$V" display="http://bsdd.buildingsmart.org/ - concept/details/3prQAAWJmHu000025QrE$V"/>
    <hyperlink ref="H273" r:id="rId272" location="concept/details/3YGkSte5rFeuE3JHSusQsY" display="http://bsdd.buildingsmart.org/ - concept/details/3YGkSte5rFeuE3JHSusQsY"/>
    <hyperlink ref="H274" r:id="rId273" location="concept/details/2NL2XimAH0XA95sYGZ2eV_" display="http://bsdd.buildingsmart.org/ - concept/details/2NL2XimAH0XA95sYGZ2eV_"/>
    <hyperlink ref="H275" r:id="rId274" location="concept/details/2h2$d6ELTFZxHtxz707BiY" display="http://bsdd.buildingsmart.org/ - concept/details/2h2$d6ELTFZxHtxz707BiY"/>
    <hyperlink ref="H276" r:id="rId275" location="concept/details/34y2wFSWfF9PbpM1nrlG_e" display="http://bsdd.buildingsmart.org/ - concept/details/34y2wFSWfF9PbpM1nrlG_e"/>
    <hyperlink ref="H277" r:id="rId276" location="concept/details/0iy3rPZsPE2gXRqIGmhmYW" display="http://bsdd.buildingsmart.org/ - concept/details/0iy3rPZsPE2gXRqIGmhmYW"/>
    <hyperlink ref="H278" r:id="rId277" location="concept/details/3vHIfqoT0Hsm00051Mm008" display="http://bsdd.buildingsmart.org/ - concept/details/3vHIfqoT0Hsm00051Mm008"/>
    <hyperlink ref="H279" r:id="rId278" location="concept/details/10282xDLb3QQyjs4k8p0dz" display="http://bsdd.buildingsmart.org/ - concept/details/10282xDLb3QQyjs4k8p0dz"/>
    <hyperlink ref="H280" r:id="rId279" location="concept/details/3EQbB_N8L3iOnr2rc7M5YJ" display="http://bsdd.buildingsmart.org/ - concept/details/3EQbB_N8L3iOnr2rc7M5YJ"/>
    <hyperlink ref="H281" r:id="rId280" location="concept/details/1h3OLKBsT4lhf5oz4cZ4xq" display="http://bsdd.buildingsmart.org/ - concept/details/1h3OLKBsT4lhf5oz4cZ4xq"/>
    <hyperlink ref="H282" r:id="rId281" location="concept/details/1v4ZOaS1jFjxHuTrJyXd9c" display="http://bsdd.buildingsmart.org/ - concept/details/1v4ZOaS1jFjxHuTrJyXd9c"/>
    <hyperlink ref="H283" r:id="rId282" location="concept/details/3vHMrUoT0Hsm00051Mm008" display="http://bsdd.buildingsmart.org/ - concept/details/3vHMrUoT0Hsm00051Mm008"/>
    <hyperlink ref="H284" r:id="rId283" location="concept/details/0J1s8LnKnBJvNzNcr6UVsm" display="http://bsdd.buildingsmart.org/ - concept/details/0J1s8LnKnBJvNzNcr6UVsm"/>
    <hyperlink ref="H285" r:id="rId284" location="concept/details/1UJqIjE71COAOQejtR987I" display="http://bsdd.buildingsmart.org/ - concept/details/1UJqIjE71COAOQejtR987I"/>
    <hyperlink ref="H286" r:id="rId285" location="concept/details/1jITCf0PjE0xG$ouFMfi80" display="http://bsdd.buildingsmart.org/ - concept/details/1jITCf0PjE0xG$ouFMfi80"/>
    <hyperlink ref="H287" r:id="rId286" location="concept/details/1Mro$cGPv1ygABEyKxXvv3" display="http://bsdd.buildingsmart.org/ - concept/details/1Mro$cGPv1ygABEyKxXvv3"/>
    <hyperlink ref="H288" r:id="rId287" location="concept/details/3Rry3P8ZH71vSV5tw9vpgU" display="http://bsdd.buildingsmart.org/ - concept/details/3Rry3P8ZH71vSV5tw9vpgU"/>
    <hyperlink ref="H289" r:id="rId288" location="concept/details/2boCMnBWH0dBE5SgDLUZTM" display="http://bsdd.buildingsmart.org/ - concept/details/2boCMnBWH0dBE5SgDLUZTM"/>
    <hyperlink ref="H290" r:id="rId289" location="concept/details/10DmDzLXr7oxp7HO1YmeU9" display="http://bsdd.buildingsmart.org/ - concept/details/10DmDzLXr7oxp7HO1YmeU9"/>
    <hyperlink ref="H291" r:id="rId290" location="concept/details/0hyGMZOkX8_g_ohkttl9sF" display="http://bsdd.buildingsmart.org/ - concept/details/0hyGMZOkX8_g_ohkttl9sF"/>
    <hyperlink ref="H292" r:id="rId291" location="concept/details/0Z5EEQapP9DO6U$klCI2lP" display="http://bsdd.buildingsmart.org/ - concept/details/0Z5EEQapP9DO6U$klCI2lP"/>
    <hyperlink ref="H293" r:id="rId292" location="concept/details/2mlo5mM8fFT96ZvjU1WLG_" display="http://bsdd.buildingsmart.org/ - concept/details/2mlo5mM8fFT96ZvjU1WLG_"/>
    <hyperlink ref="H294" r:id="rId293" location="concept/details/2Qsn$cWIz1VeUvYfC3RbAT" display="http://bsdd.buildingsmart.org/ - concept/details/2Qsn$cWIz1VeUvYfC3RbAT"/>
    <hyperlink ref="H295" r:id="rId294" location="concept/details/2zhDW$s2PByw$7QzG$35S8" display="http://bsdd.buildingsmart.org/ - concept/details/2zhDW$s2PByw$7QzG$35S8"/>
    <hyperlink ref="H296" r:id="rId295" location="concept/details/22x$pcoGD9qP8vz67ISzaZ" display="http://bsdd.buildingsmart.org/ - concept/details/22x$pcoGD9qP8vz67ISzaZ"/>
    <hyperlink ref="H297" r:id="rId296" location="concept/details/3s2LsLeSf66x4rFzXSIk5E" display="http://bsdd.buildingsmart.org/ - concept/details/3s2LsLeSf66x4rFzXSIk5E"/>
    <hyperlink ref="H298" r:id="rId297" location="concept/details/06F6nIyiT7TxQjSX2HXt3J" display="http://bsdd.buildingsmart.org/ - concept/details/06F6nIyiT7TxQjSX2HXt3J"/>
    <hyperlink ref="H299" r:id="rId298" location="concept/details/0cQu1psD94mf6jsLPKNbZL" display="http://bsdd.buildingsmart.org/ - concept/details/0cQu1psD94mf6jsLPKNbZL"/>
    <hyperlink ref="H300" r:id="rId299" location="concept/details/1U_hGF$QPAdfjS7fwbYZDr" display="http://bsdd.buildingsmart.org/ - concept/details/1U_hGF$QPAdfjS7fwbYZDr"/>
    <hyperlink ref="H301" r:id="rId300" location="concept/details/1$$5FoAwX1uuvkbeTgv7oh" display="http://bsdd.buildingsmart.org/ - concept/details/1$$5FoAwX1uuvkbeTgv7oh"/>
    <hyperlink ref="H302" r:id="rId301" location="concept/details/0JZTJ8bGPE8BxmIUwPp$V_" display="http://bsdd.buildingsmart.org/ - concept/details/0JZTJ8bGPE8BxmIUwPp$V_"/>
    <hyperlink ref="H303" r:id="rId302" location="concept/details/3bCHyFK2D4NxIKIfjbLKQ$" display="http://bsdd.buildingsmart.org/ - concept/details/3bCHyFK2D4NxIKIfjbLKQ$"/>
    <hyperlink ref="H304" r:id="rId303" location="concept/details/1xcYWENQv0$RF_uoISu8xS" display="http://bsdd.buildingsmart.org/ - concept/details/1xcYWENQv0$RF_uoISu8xS"/>
    <hyperlink ref="H305" r:id="rId304" location="concept/details/3X_rMOyK50MAMXoX_jSaGx" display="http://bsdd.buildingsmart.org/ - concept/details/3X_rMOyK50MAMXoX_jSaGx"/>
    <hyperlink ref="H306" r:id="rId305" location="concept/details/0dE6iFTEz1d99VqGqTC0MB" display="http://bsdd.buildingsmart.org/ - concept/details/0dE6iFTEz1d99VqGqTC0MB"/>
    <hyperlink ref="H307" r:id="rId306" location="concept/details/3SrPRmTgL5Rf_gWltxyFVX" display="http://bsdd.buildingsmart.org/ - concept/details/3SrPRmTgL5Rf_gWltxyFVX"/>
    <hyperlink ref="H308" r:id="rId307" location="concept/details/0PBRLIbjrFJurPlf06N1hl" display="http://bsdd.buildingsmart.org/ - concept/details/0PBRLIbjrFJurPlf06N1hl"/>
    <hyperlink ref="H309" r:id="rId308" location="concept/details/2Efu7FuJ51ggD3JwoIybOB" display="http://bsdd.buildingsmart.org/ - concept/details/2Efu7FuJ51ggD3JwoIybOB"/>
    <hyperlink ref="H310" r:id="rId309" location="concept/details/3r730XckH2XRdNAARKglP7" display="http://bsdd.buildingsmart.org/ - concept/details/3r730XckH2XRdNAARKglP7"/>
    <hyperlink ref="H311" r:id="rId310" location="concept/details/2lMpI1J3n66vdcui2IpDyS" display="http://bsdd.buildingsmart.org/ - concept/details/2lMpI1J3n66vdcui2IpDyS"/>
    <hyperlink ref="H312" r:id="rId311" location="concept/details/1hJGjDJQP1$QfpOYFg3QvF" display="http://bsdd.buildingsmart.org/ - concept/details/1hJGjDJQP1$QfpOYFg3QvF"/>
    <hyperlink ref="H313" r:id="rId312" location="concept/details/2GN$DdJov7iB8fXuFP1caY" display="http://bsdd.buildingsmart.org/ - concept/details/2GN$DdJov7iB8fXuFP1caY"/>
    <hyperlink ref="H314" r:id="rId313" location="concept/details/3a$HzM3wL8OR4Gj9o6ovEi" display="http://bsdd.buildingsmart.org/ - concept/details/3a$HzM3wL8OR4Gj9o6ovEi"/>
    <hyperlink ref="H315" r:id="rId314" location="concept/details/1Be1IcYfHFsurEs9NBUPvT" display="http://bsdd.buildingsmart.org/ - concept/details/1Be1IcYfHFsurEs9NBUPvT"/>
    <hyperlink ref="H316" r:id="rId315" location="concept/details/1A435yS6n2AgpxK2XwIQ4l" display="http://bsdd.buildingsmart.org/ - concept/details/1A435yS6n2AgpxK2XwIQ4l"/>
    <hyperlink ref="H317" r:id="rId316" location="concept/details/0i9FYC6Eb9ERoFs16OIrgM" display="http://bsdd.buildingsmart.org/ - concept/details/0i9FYC6Eb9ERoFs16OIrgM"/>
    <hyperlink ref="H318" r:id="rId317" location="concept/details/1NpvsDshD0K8qcuNlY5icK" display="http://bsdd.buildingsmart.org/ - concept/details/1NpvsDshD0K8qcuNlY5icK"/>
    <hyperlink ref="H319" r:id="rId318" location="concept/details/2bSsGb_c5FuAmROWK59BPP" display="http://bsdd.buildingsmart.org/ - concept/details/2bSsGb_c5FuAmROWK59BPP"/>
    <hyperlink ref="H320" r:id="rId319" location="concept/details/3vHM9GoT0Hsm00051Mm008" display="http://bsdd.buildingsmart.org/ - concept/details/3vHM9GoT0Hsm00051Mm008"/>
    <hyperlink ref="H321" r:id="rId320" location="concept/details/1apYYGR_XBY8PZn65ZuhzD" display="http://bsdd.buildingsmart.org/ - concept/details/1apYYGR_XBY8PZn65ZuhzD"/>
    <hyperlink ref="H322" r:id="rId321" location="concept/details/1Dhyhqfdj6EvaOrgE3Qyxx" display="http://bsdd.buildingsmart.org/ - concept/details/1Dhyhqfdj6EvaOrgE3Qyxx"/>
    <hyperlink ref="H323" r:id="rId322" location="concept/details/28YOH6sNv4VP1XMCpCnTBS" display="http://bsdd.buildingsmart.org/ - concept/details/28YOH6sNv4VP1XMCpCnTBS"/>
    <hyperlink ref="H324" r:id="rId323" location="concept/details/3J$ZFBpeX3uBvKwPfn9La3" display="http://bsdd.buildingsmart.org/ - concept/details/3J$ZFBpeX3uBvKwPfn9La3"/>
    <hyperlink ref="H325" r:id="rId324" location="concept/details/3vHOOEoT0Hsm00051Mm008" display="http://bsdd.buildingsmart.org/ - concept/details/3vHOOEoT0Hsm00051Mm008"/>
    <hyperlink ref="H326" r:id="rId325" location="concept/details/1MiwbD6DvCI8hl4$mP4sB7" display="http://bsdd.buildingsmart.org/ - concept/details/1MiwbD6DvCI8hl4$mP4sB7"/>
    <hyperlink ref="H327" r:id="rId326" location="concept/details/28v30WgiT9s8uF7Ynf8sUi" display="http://bsdd.buildingsmart.org/ - concept/details/28v30WgiT9s8uF7Ynf8sUi"/>
    <hyperlink ref="H328" r:id="rId327" location="concept/details/19YRrVu957XfD4zuVZe3iD" display="http://bsdd.buildingsmart.org/ - concept/details/19YRrVu957XfD4zuVZe3iD"/>
    <hyperlink ref="H329" r:id="rId328" location="concept/details/0OEVZnzSr6nAYcFJFhhdP9" display="http://bsdd.buildingsmart.org/ - concept/details/0OEVZnzSr6nAYcFJFhhdP9"/>
    <hyperlink ref="H330" r:id="rId329" location="concept/details/0_1uLp$45FjOqNjel4YBnY" display="http://bsdd.buildingsmart.org/ - concept/details/0_1uLp$45FjOqNjel4YBnY"/>
    <hyperlink ref="H331" r:id="rId330" location="concept/details/07wzORmYD9ChX7cj4WKMlf" display="http://bsdd.buildingsmart.org/ - concept/details/07wzORmYD9ChX7cj4WKMlf"/>
    <hyperlink ref="H332" r:id="rId331" location="concept/details/0gVdDsgq52CeSgvdV8h8OM" display="http://bsdd.buildingsmart.org/ - concept/details/0gVdDsgq52CeSgvdV8h8OM"/>
    <hyperlink ref="H333" r:id="rId332" location="concept/details/3ibU7JYULAQe7uODebcFI4" display="http://bsdd.buildingsmart.org/ - concept/details/3ibU7JYULAQe7uODebcFI4"/>
    <hyperlink ref="H334" r:id="rId333" location="concept/details/3vHIiyoT0Hsm00051Mm008" display="http://bsdd.buildingsmart.org/ - concept/details/3vHIiyoT0Hsm00051Mm008"/>
    <hyperlink ref="H335" r:id="rId334" location="concept/details/3vHM$ooT0Hsm00051Mm008" display="http://bsdd.buildingsmart.org/ - concept/details/3vHM$ooT0Hsm00051Mm008"/>
    <hyperlink ref="H336" r:id="rId335" location="concept/details/1jO_I4ccj8oBkZPQnSutDz" display="http://bsdd.buildingsmart.org/ - concept/details/1jO_I4ccj8oBkZPQnSutDz"/>
    <hyperlink ref="H337" r:id="rId336" location="concept/details/1eb2wBi0TDTA9_QwTlGyeu" display="http://bsdd.buildingsmart.org/ - concept/details/1eb2wBi0TDTA9_QwTlGyeu"/>
    <hyperlink ref="H338" r:id="rId337" location="concept/details/3wqWhOhfnDavKUJWTvTalO" display="http://bsdd.buildingsmart.org/ - concept/details/3wqWhOhfnDavKUJWTvTalO"/>
    <hyperlink ref="H339" r:id="rId338" location="concept/details/2Wxblu6ePDPQ1joWCcVscx" display="http://bsdd.buildingsmart.org/ - concept/details/2Wxblu6ePDPQ1joWCcVscx"/>
    <hyperlink ref="H340" r:id="rId339" location="concept/details/3vHZ6UoT0Hsm00051Mm008" display="http://bsdd.buildingsmart.org/ - concept/details/3vHZ6UoT0Hsm00051Mm008"/>
    <hyperlink ref="H341" r:id="rId340" location="concept/details/2iP7GRMgHEhAryeUn5G$DP" display="http://bsdd.buildingsmart.org/ - concept/details/2iP7GRMgHEhAryeUn5G$DP"/>
    <hyperlink ref="H342" r:id="rId341" location="concept/details/2AgqgLvuvA0u__2RiHk94m" display="http://bsdd.buildingsmart.org/ - concept/details/2AgqgLvuvA0u__2RiHk94m"/>
    <hyperlink ref="H343" r:id="rId342" location="concept/details/3oM06ehTH28wstwKmjtqX8" display="http://bsdd.buildingsmart.org/ - concept/details/3oM06ehTH28wstwKmjtqX8"/>
    <hyperlink ref="H344" r:id="rId343" location="concept/details/3fWm9cRAL9wAp7VrSU64$L" display="http://bsdd.buildingsmart.org/ - concept/details/3fWm9cRAL9wAp7VrSU64$L"/>
    <hyperlink ref="H345" r:id="rId344" location="concept/details/3RCy8dH$vFoP4x$5hJdcq2" display="http://bsdd.buildingsmart.org/ - concept/details/3RCy8dH$vFoP4x$5hJdcq2"/>
    <hyperlink ref="H346" r:id="rId345" location="concept/details/3Ae1w0qUOHuO00025QrE$V" display="http://bsdd.buildingsmart.org/ - concept/details/3Ae1w0qUOHuO00025QrE$V"/>
    <hyperlink ref="H347" r:id="rId346" location="concept/details/3vHIiyoT0Hsm00051Mm008" display="http://bsdd.buildingsmart.org/ - concept/details/3vHIiyoT0Hsm00051Mm008"/>
    <hyperlink ref="H348" r:id="rId347" location="concept/details/0lRkSgMTj5VPQ_i4TorYBW" display="http://bsdd.buildingsmart.org/ - concept/details/0lRkSgMTj5VPQ_i4TorYBW"/>
    <hyperlink ref="H349" r:id="rId348" location="concept/details/1bNmVNymrARQs9IC5glhiJ" display="http://bsdd.buildingsmart.org/ - concept/details/1bNmVNymrARQs9IC5glhiJ"/>
    <hyperlink ref="H350" r:id="rId349" location="concept/details/03r6SRvC59khtOluVgjo9B" display="http://bsdd.buildingsmart.org/ - concept/details/03r6SRvC59khtOluVgjo9B"/>
    <hyperlink ref="H351" r:id="rId350" location="concept/details/2ScGOKl0TF58sYPFb6KHbc" display="http://bsdd.buildingsmart.org/ - concept/details/2ScGOKl0TF58sYPFb6KHbc"/>
    <hyperlink ref="H352" r:id="rId351" location="concept/details/3gT2l3EVfEKR6YLlZ0KrLp" display="http://bsdd.buildingsmart.org/ - concept/details/3gT2l3EVfEKR6YLlZ0KrLp"/>
    <hyperlink ref="H353" r:id="rId352" location="concept/details/0B9D7Ru9jAquuAVocoATi4" display="http://bsdd.buildingsmart.org/ - concept/details/0B9D7Ru9jAquuAVocoATi4"/>
    <hyperlink ref="H354" r:id="rId353" location="concept/details/1dCsZ71uz2dv$YEMCjD4IX" display="http://bsdd.buildingsmart.org/ - concept/details/1dCsZ71uz2dv$YEMCjD4IX"/>
    <hyperlink ref="H355" r:id="rId354" location="concept/details/2eACGnH3b8$PNwXol9OGCI" display="http://bsdd.buildingsmart.org/ - concept/details/2eACGnH3b8$PNwXol9OGCI"/>
    <hyperlink ref="H356" r:id="rId355" location="concept/details/3O$6EFjA13LxJ_jBo4glwo" display="http://bsdd.buildingsmart.org/ - concept/details/3O$6EFjA13LxJ_jBo4glwo"/>
    <hyperlink ref="H357" r:id="rId356" location="concept/details/0fQAtM_r9BixmsejsLAlmE" display="http://bsdd.buildingsmart.org/ - concept/details/0fQAtM_r9BixmsejsLAlmE"/>
    <hyperlink ref="H358" r:id="rId357" location="concept/details/29WtsCSXb1OPq64Q_FVYi$" display="http://bsdd.buildingsmart.org/ - concept/details/29WtsCSXb1OPq64Q_FVYi$"/>
    <hyperlink ref="H359" r:id="rId358" location="concept/details/3cUnMgwujD4e2eYAknPTJa" display="http://bsdd.buildingsmart.org/ - concept/details/3cUnMgwujD4e2eYAknPTJa"/>
    <hyperlink ref="H360" r:id="rId359" location="concept/details/244EaAWJSHu000025QrE$V" display="http://bsdd.buildingsmart.org/ - concept/details/244EaAWJSHu000025QrE$V"/>
    <hyperlink ref="H361" r:id="rId360" location="concept/details/01c6VRz9D0RwQSYWV20BA7" display="http://bsdd.buildingsmart.org/ - concept/details/01c6VRz9D0RwQSYWV20BA7"/>
    <hyperlink ref="H362" r:id="rId361" location="concept/details/3DV_tcyzr13ebAo0HsQiye" display="http://bsdd.buildingsmart.org/ - concept/details/3DV_tcyzr13ebAo0HsQiye"/>
    <hyperlink ref="H363" r:id="rId362" location="concept/details/1rVjMNSK57hPTdZNsedo_s" display="http://bsdd.buildingsmart.org/ - concept/details/1rVjMNSK57hPTdZNsedo_s"/>
    <hyperlink ref="H364" r:id="rId363" location="concept/details/2w4K08mrX61v455H2U1zHI" display="http://bsdd.buildingsmart.org/ - concept/details/2w4K08mrX61v455H2U1zHI"/>
    <hyperlink ref="H365" r:id="rId364" location="concept/details/142P6gQz98X8f_YlS9fZ_N" display="http://bsdd.buildingsmart.org/ - concept/details/142P6gQz98X8f_YlS9fZ_N"/>
    <hyperlink ref="H366" r:id="rId365" location="concept/details/24drolyYX2Se7hqe$JRVKT" display="http://bsdd.buildingsmart.org/ - concept/details/24drolyYX2Se7hqe$JRVKT"/>
    <hyperlink ref="H367" r:id="rId366" location="concept/details/3$QIJ5gKv4hPazehz8XSJr" display="http://bsdd.buildingsmart.org/ - concept/details/3$QIJ5gKv4hPazehz8XSJr"/>
    <hyperlink ref="H368" r:id="rId367" location="concept/details/1uxsuhVlPC3PBXf5555XDb" display="http://bsdd.buildingsmart.org/ - concept/details/1uxsuhVlPC3PBXf5555XDb"/>
    <hyperlink ref="H369" r:id="rId368" location="concept/details/0TN3tkMH977PXj62hm8qMl" display="http://bsdd.buildingsmart.org/ - concept/details/0TN3tkMH977PXj62hm8qMl"/>
    <hyperlink ref="H370" r:id="rId369" location="concept/details/2fQXTT1n59QB2VxVU_Nbxz" display="http://bsdd.buildingsmart.org/ - concept/details/2fQXTT1n59QB2VxVU_Nbxz"/>
    <hyperlink ref="H371" r:id="rId370" location="concept/details/2VSwjMBw1DguPAi2T4j5Vo" display="http://bsdd.buildingsmart.org/ - concept/details/2VSwjMBw1DguPAi2T4j5Vo"/>
    <hyperlink ref="H372" r:id="rId371" location="concept/details/2SRrnjcDbAuRcxXk_bSZkl" display="http://bsdd.buildingsmart.org/ - concept/details/2SRrnjcDbAuRcxXk_bSZkl"/>
    <hyperlink ref="H373" r:id="rId372" location="concept/details/1ftZADM_r07xdrsORZL3fa" display="http://bsdd.buildingsmart.org/ - concept/details/1ftZADM_r07xdrsORZL3fa"/>
    <hyperlink ref="H374" r:id="rId373" location="concept/details/2KlRl9Y7X7zBFLGF17pzdI" display="http://bsdd.buildingsmart.org/ - concept/details/2KlRl9Y7X7zBFLGF17pzdI"/>
    <hyperlink ref="H375" r:id="rId374" location="concept/details/3$yzDMx_v4khGaUdypFhvz" display="http://bsdd.buildingsmart.org/ - concept/details/3$yzDMx_v4khGaUdypFhvz"/>
    <hyperlink ref="H376" r:id="rId375" location="concept/details/0Bpvfrvy146RA67ox9AQIx" display="http://bsdd.buildingsmart.org/ - concept/details/0Bpvfrvy146RA67ox9AQIx"/>
    <hyperlink ref="H377" r:id="rId376" location="concept/details/1S4mb8gxbFrReXSWu74T5L" display="http://bsdd.buildingsmart.org/ - concept/details/1S4mb8gxbFrReXSWu74T5L"/>
    <hyperlink ref="H378" r:id="rId377" location="concept/details/15cFk0Lr916fcuI$ZD7Hpy" display="http://bsdd.buildingsmart.org/ - concept/details/15cFk0Lr916fcuI$ZD7Hpy"/>
    <hyperlink ref="H379" r:id="rId378" location="concept/details/1NKeF1ZB17YhwIdU8b4Pl$" display="http://bsdd.buildingsmart.org/ - concept/details/1NKeF1ZB17YhwIdU8b4Pl$"/>
    <hyperlink ref="H380" r:id="rId379" location="concept/details/20gh8m1kj3hB1VSUPnJvTT" display="http://bsdd.buildingsmart.org/ - concept/details/20gh8m1kj3hB1VSUPnJvTT"/>
    <hyperlink ref="H381" r:id="rId380" location="concept/details/2lhXUPW2b9C9Kf__FNBOg6" display="http://bsdd.buildingsmart.org/ - concept/details/2lhXUPW2b9C9Kf__FNBOg6"/>
    <hyperlink ref="H382" r:id="rId381" location="concept/details/09edR8uDb2Ovu6kC762nnJ" display="http://bsdd.buildingsmart.org/ - concept/details/09edR8uDb2Ovu6kC762nnJ"/>
    <hyperlink ref="H383" r:id="rId382" location="concept/details/3qojuW1k5C89_5p3vK7la0" display="http://bsdd.buildingsmart.org/ - concept/details/3qojuW1k5C89_5p3vK7la0"/>
    <hyperlink ref="H384" r:id="rId383" location="concept/details/0KzJOl9EvAJO5KKr1uSM$D" display="http://bsdd.buildingsmart.org/ - concept/details/0KzJOl9EvAJO5KKr1uSM$D"/>
    <hyperlink ref="H385" r:id="rId384" location="concept/details/052DB78ULEC8nDl3zKv4Tp" display="http://bsdd.buildingsmart.org/ - concept/details/052DB78ULEC8nDl3zKv4Tp"/>
    <hyperlink ref="H386" r:id="rId385" location="concept/details/1nHXfkhoD93wrYYkz9n5n4" display="http://bsdd.buildingsmart.org/ - concept/details/1nHXfkhoD93wrYYkz9n5n4"/>
    <hyperlink ref="H387" r:id="rId386" location="concept/details/0RSBYST2rEMvxfQC1N$v3Q" display="http://bsdd.buildingsmart.org/ - concept/details/0RSBYST2rEMvxfQC1N$v3Q"/>
    <hyperlink ref="H388" r:id="rId387" location="concept/details/2NBIO5cij6KO56SSvuRGLz" display="http://bsdd.buildingsmart.org/ - concept/details/2NBIO5cij6KO56SSvuRGLz"/>
    <hyperlink ref="H389" r:id="rId388" location="concept/details/2hW7t_HRv37QQWggDt4xJr" display="http://bsdd.buildingsmart.org/ - concept/details/2hW7t_HRv37QQWggDt4xJr"/>
    <hyperlink ref="H390" r:id="rId389" location="concept/details/1d8Z1qeMf7OPyD31L3LAeW" display="http://bsdd.buildingsmart.org/ - concept/details/1d8Z1qeMf7OPyD31L3LAeW"/>
    <hyperlink ref="H391" r:id="rId390" location="concept/details/1n7US$Eh14QfKIAqSlU0ea" display="http://bsdd.buildingsmart.org/ - concept/details/1n7US$Eh14QfKIAqSlU0ea"/>
    <hyperlink ref="H392" r:id="rId391" location="concept/details/0Zl2LUGgz6FhiZO3ayv2ZC" display="http://bsdd.buildingsmart.org/ - concept/details/0Zl2LUGgz6FhiZO3ayv2ZC"/>
    <hyperlink ref="H393" r:id="rId392" location="concept/details/2hRnhFbN58K9CtWURhgXrp" display="http://bsdd.buildingsmart.org/ - concept/details/2hRnhFbN58K9CtWURhgXrp"/>
    <hyperlink ref="H394" r:id="rId393" location="concept/details/0bEgg2_SbF8B0dpWiFSX5a" display="http://bsdd.buildingsmart.org/ - concept/details/0bEgg2_SbF8B0dpWiFSX5a"/>
    <hyperlink ref="H395" r:id="rId394" location="concept/details/3_dtocBcrFCRBFp$gPsy$G" display="http://bsdd.buildingsmart.org/ - concept/details/3_dtocBcrFCRBFp$gPsy$G"/>
    <hyperlink ref="H396" r:id="rId395" location="concept/details/0bLPPe9Y90U9SAcyC6X0iL" display="http://bsdd.buildingsmart.org/ - concept/details/0bLPPe9Y90U9SAcyC6X0iL"/>
    <hyperlink ref="H397" r:id="rId396" location="concept/details/33n_PtQqX3Wf5psP_YiNik" display="http://bsdd.buildingsmart.org/ - concept/details/33n_PtQqX3Wf5psP_YiNik"/>
    <hyperlink ref="H398" r:id="rId397" location="concept/details/2V0HE78SnF1e_vht4d2NP1" display="http://bsdd.buildingsmart.org/ - concept/details/2V0HE78SnF1e_vht4d2NP1"/>
    <hyperlink ref="H399" r:id="rId398" location="concept/details/1vBcG1g7D5ROCFrUINw0s8" display="http://bsdd.buildingsmart.org/ - concept/details/1vBcG1g7D5ROCFrUINw0s8"/>
    <hyperlink ref="H400" r:id="rId399" location="concept/details/0MwBz1Y39EZxbRapRo2YSx" display="http://bsdd.buildingsmart.org/ - concept/details/0MwBz1Y39EZxbRapRo2YSx"/>
    <hyperlink ref="H401" r:id="rId400" location="concept/details/0WRqQKULXBXeX0P798d9wa" display="http://bsdd.buildingsmart.org/ - concept/details/0WRqQKULXBXeX0P798d9wa"/>
    <hyperlink ref="H402" r:id="rId401" location="concept/details/3p8IKa2EP8nu2I3GO3Qxzt" display="http://bsdd.buildingsmart.org/ - concept/details/3p8IKa2EP8nu2I3GO3Qxzt"/>
    <hyperlink ref="H403" r:id="rId402" location="concept/details/3cXZtFxNPEX9WS5g6Gd2Yl" display="http://bsdd.buildingsmart.org/ - concept/details/3cXZtFxNPEX9WS5g6Gd2Yl"/>
    <hyperlink ref="H404" r:id="rId403" location="concept/details/0ZSqaFgUH1J80omTwIPMts" display="http://bsdd.buildingsmart.org/ - concept/details/0ZSqaFgUH1J80omTwIPMts"/>
    <hyperlink ref="H405" r:id="rId404" location="concept/details/0apooc1vH4LecmraRcufYK" display="http://bsdd.buildingsmart.org/ - concept/details/0apooc1vH4LecmraRcufYK"/>
    <hyperlink ref="H406" r:id="rId405" location="concept/details/3AeuvbjqHFbPwnz2Jg5JFe" display="http://bsdd.buildingsmart.org/ - concept/details/3AeuvbjqHFbPwnz2Jg5JFe"/>
    <hyperlink ref="H407" r:id="rId406" location="concept/details/0or3umcPb7IQFh2Rl$exFk" display="http://bsdd.buildingsmart.org/ - concept/details/0or3umcPb7IQFh2Rl$exFk"/>
    <hyperlink ref="H408" r:id="rId407" location="concept/details/0bX9Kys99BJfNYOn3Xpf3I" display="http://bsdd.buildingsmart.org/ - concept/details/0bX9Kys99BJfNYOn3Xpf3I"/>
    <hyperlink ref="H409" r:id="rId408" location="concept/details/2BUPGfc0bB09qyD2L0H14e" display="http://bsdd.buildingsmart.org/ - concept/details/2BUPGfc0bB09qyD2L0H14e"/>
    <hyperlink ref="H410" r:id="rId409" location="concept/details/3_O038qFf57O7l8aXVxRGc" display="http://bsdd.buildingsmart.org/ - concept/details/3_O038qFf57O7l8aXVxRGc"/>
    <hyperlink ref="H411" r:id="rId410" location="concept/details/3atVf2Ruv17eSF6xVD5YNZ" display="http://bsdd.buildingsmart.org/ - concept/details/3atVf2Ruv17eSF6xVD5YNZ"/>
    <hyperlink ref="H412" r:id="rId411" location="concept/details/1VQ1GZZDD2pvhjZ8ZKtCoL" display="http://bsdd.buildingsmart.org/ - concept/details/1VQ1GZZDD2pvhjZ8ZKtCoL"/>
    <hyperlink ref="H413" r:id="rId412" location="concept/details/1TtXB6P9HFb8OkdKMz9gNx" display="http://bsdd.buildingsmart.org/ - concept/details/1TtXB6P9HFb8OkdKMz9gNx"/>
    <hyperlink ref="H414" r:id="rId413" location="concept/details/0HFnMYIWH12Q1kPcR9ivMN" display="http://bsdd.buildingsmart.org/ - concept/details/0HFnMYIWH12Q1kPcR9ivMN"/>
    <hyperlink ref="H415" r:id="rId414" location="concept/details/2Li_PcvUzAN94fsCj914aJ" display="http://bsdd.buildingsmart.org/ - concept/details/2Li_PcvUzAN94fsCj914aJ"/>
    <hyperlink ref="H416" r:id="rId415" location="concept/details/2wgywBvqz5vfw6mb7$hXtQ" display="http://bsdd.buildingsmart.org/ - concept/details/2wgywBvqz5vfw6mb7$hXtQ"/>
    <hyperlink ref="H417" r:id="rId416" location="concept/details/35Wt$Xtkv9sfJYLBOslTuW" display="http://bsdd.buildingsmart.org/ - concept/details/35Wt$Xtkv9sfJYLBOslTuW"/>
    <hyperlink ref="H418" r:id="rId417" location="concept/details/1qsyoaFP96h9V0YRVOkPmv" display="http://bsdd.buildingsmart.org/ - concept/details/1qsyoaFP96h9V0YRVOkPmv"/>
    <hyperlink ref="H419" r:id="rId418" location="concept/details/1VQ1GZZDD2pvhjZ8ZKtCoL" display="http://bsdd.buildingsmart.org/ - concept/details/1VQ1GZZDD2pvhjZ8ZKtCoL"/>
    <hyperlink ref="H420" r:id="rId419" location="concept/details/3rIKcD3fH7IeVAiC$KLi4h" display="http://bsdd.buildingsmart.org/ - concept/details/3rIKcD3fH7IeVAiC$KLi4h"/>
    <hyperlink ref="H421" r:id="rId420" location="concept/details/30ZJpt9iTF_OCWN5xV3QQi" display="http://bsdd.buildingsmart.org/ - concept/details/30ZJpt9iTF_OCWN5xV3QQi"/>
    <hyperlink ref="H422" r:id="rId421" location="concept/details/1RTYeUNzX40haO6Q9PTu3G" display="http://bsdd.buildingsmart.org/ - concept/details/1RTYeUNzX40haO6Q9PTu3G"/>
    <hyperlink ref="H423" r:id="rId422" location="concept/details/3NS56vQBXApPORDzkg8AbO" display="http://bsdd.buildingsmart.org/ - concept/details/3NS56vQBXApPORDzkg8AbO"/>
    <hyperlink ref="H424" r:id="rId423" location="concept/details/0eZbv7mqL0bwpmCKbX6tjd" display="http://bsdd.buildingsmart.org/ - concept/details/0eZbv7mqL0bwpmCKbX6tjd"/>
    <hyperlink ref="H425" r:id="rId424" location="concept/details/1ibNwi6V1C6xWopPu55uqp" display="http://bsdd.buildingsmart.org/ - concept/details/1ibNwi6V1C6xWopPu55uqp"/>
    <hyperlink ref="H426" r:id="rId425" location="concept/details/1eXfg_1I91Sx4GGeG$RIJY" display="http://bsdd.buildingsmart.org/ - concept/details/1eXfg_1I91Sx4GGeG$RIJY"/>
    <hyperlink ref="H427" r:id="rId426" location="concept/details/19L5bx7qn7mucn68D07vXN" display="http://bsdd.buildingsmart.org/ - concept/details/19L5bx7qn7mucn68D07vXN"/>
    <hyperlink ref="H428" r:id="rId427" location="concept/details/1VNpCk60r4cBNB2Bffz1FI" display="http://bsdd.buildingsmart.org/ - concept/details/1VNpCk60r4cBNB2Bffz1FI"/>
    <hyperlink ref="H429" r:id="rId428" location="concept/details/036RVlhonEa9EV6LLgouGC" display="http://bsdd.buildingsmart.org/ - concept/details/036RVlhonEa9EV6LLgouGC"/>
    <hyperlink ref="H430" r:id="rId429" location="concept/details/3BKoNyderDy86$$uY0F2ox" display="http://bsdd.buildingsmart.org/ - concept/details/3BKoNyderDy86$$uY0F2ox"/>
    <hyperlink ref="H431" r:id="rId430" location="concept/details/2wtRzIDPL5D9jhSDry8GMw" display="http://bsdd.buildingsmart.org/ - concept/details/2wtRzIDPL5D9jhSDry8GMw"/>
    <hyperlink ref="H432" r:id="rId431" location="concept/details/14AYX6CJ1EqeBuUI7G2cP2" display="http://bsdd.buildingsmart.org/ - concept/details/14AYX6CJ1EqeBuUI7G2cP2"/>
    <hyperlink ref="H433" r:id="rId432" location="concept/details/1X9ut6PQ17wgorQHylHKyk" display="http://bsdd.buildingsmart.org/ - concept/details/1X9ut6PQ17wgorQHylHKyk"/>
    <hyperlink ref="H434" r:id="rId433" location="concept/details/0JfFrvsp13pO$Bdy75ojG7" display="http://bsdd.buildingsmart.org/ - concept/details/0JfFrvsp13pO$Bdy75ojG7"/>
    <hyperlink ref="H435" r:id="rId434" location="concept/details/3FGloc5bv6e9ZqNIfsyxKb" display="http://bsdd.buildingsmart.org/ - concept/details/3FGloc5bv6e9ZqNIfsyxKb"/>
    <hyperlink ref="H436" r:id="rId435" location="concept/details/3ysjxb$SH2jui06xIZpLGZ" display="http://bsdd.buildingsmart.org/ - concept/details/3ysjxb$SH2jui06xIZpLGZ"/>
    <hyperlink ref="H437" r:id="rId436" location="concept/details/12htQAVSmHtm00025QrE$V" display="http://bsdd.buildingsmart.org/ - concept/details/12htQAVSmHtm00025QrE$V"/>
    <hyperlink ref="H438" r:id="rId437" location="concept/details/3rqNQvwQrAfABDt8peyZuI" display="http://bsdd.buildingsmart.org/ - concept/details/3rqNQvwQrAfABDt8peyZuI"/>
    <hyperlink ref="H439" r:id="rId438" location="concept/details/2RgbUw60b1mu_Mflwh6N$z" display="http://bsdd.buildingsmart.org/ - concept/details/2RgbUw60b1mu_Mflwh6N$z"/>
    <hyperlink ref="H440" r:id="rId439" location="concept/details/2fjqGro4L4WfUFkiJDkzbU" display="http://bsdd.buildingsmart.org/ - concept/details/2fjqGro4L4WfUFkiJDkzbU"/>
    <hyperlink ref="H441" r:id="rId440" location="concept/details/1TYo5EATzDnAmNgPcJpKrP" display="http://bsdd.buildingsmart.org/ - concept/details/1TYo5EATzDnAmNgPcJpKrP"/>
    <hyperlink ref="H442" r:id="rId441" location="concept/details/1$VgUWOMb5QOPAbXWCP0I0" display="http://bsdd.buildingsmart.org/ - concept/details/1$VgUWOMb5QOPAbXWCP0I0"/>
    <hyperlink ref="H443" r:id="rId442" location="concept/details/3NWQlueM58yRp$bRZPOPCF" display="http://bsdd.buildingsmart.org/ - concept/details/3NWQlueM58yRp$bRZPOPCF"/>
    <hyperlink ref="H444" r:id="rId443" location="concept/details/1YRdjbQw96Rvn1KbXYfVpU" display="http://bsdd.buildingsmart.org/ - concept/details/1YRdjbQw96Rvn1KbXYfVpU"/>
    <hyperlink ref="H445" r:id="rId444" location="concept/details/0nyNkobfjDdObHDGgfuKiF" display="http://bsdd.buildingsmart.org/ - concept/details/0nyNkobfjDdObHDGgfuKiF"/>
    <hyperlink ref="H446" r:id="rId445" location="concept/details/1f8zvA5kv188z$RL$a4Wxo" display="http://bsdd.buildingsmart.org/ - concept/details/1f8zvA5kv188z$RL$a4Wxo"/>
    <hyperlink ref="H447" r:id="rId446" location="concept/details/1VTAVTm_17Ie3JHwtxy9o2" display="http://bsdd.buildingsmart.org/ - concept/details/1VTAVTm_17Ie3JHwtxy9o2"/>
    <hyperlink ref="H448" r:id="rId447" location="concept/details/35JwnXFIn9evljYaqHKInc" display="http://bsdd.buildingsmart.org/ - concept/details/35JwnXFIn9evljYaqHKInc"/>
    <hyperlink ref="H449" r:id="rId448" location="concept/details/1RFsy4B1X4HOvPlJM_erwm" display="http://bsdd.buildingsmart.org/ - concept/details/1RFsy4B1X4HOvPlJM_erwm"/>
    <hyperlink ref="H450" r:id="rId449" location="concept/details/2FlGPkyLb9cArstrAMI3I8" display="http://bsdd.buildingsmart.org/ - concept/details/2FlGPkyLb9cArstrAMI3I8"/>
    <hyperlink ref="H451" r:id="rId450" location="concept/details/1QVsKRmv13XhxFyGPSBskK" display="http://bsdd.buildingsmart.org/ - concept/details/1QVsKRmv13XhxFyGPSBskK"/>
    <hyperlink ref="H452" r:id="rId451" location="concept/details/0Aqxjgx893dvfDKoMNHlPB" display="http://bsdd.buildingsmart.org/ - concept/details/0Aqxjgx893dvfDKoMNHlPB"/>
    <hyperlink ref="H453" r:id="rId452" location="concept/details/3vHXuWoT0Hsm00051Mm008" display="http://bsdd.buildingsmart.org/ - concept/details/3vHXuWoT0Hsm00051Mm008"/>
    <hyperlink ref="H454" r:id="rId453" location="concept/details/2KixHCEgj7AuAYHKyz$kws" display="http://bsdd.buildingsmart.org/ - concept/details/2KixHCEgj7AuAYHKyz$kws"/>
    <hyperlink ref="H455" r:id="rId454" location="concept/details/0efa5EnFjDqQQ8BsDWDcJn" display="http://bsdd.buildingsmart.org/ - concept/details/0efa5EnFjDqQQ8BsDWDcJn"/>
    <hyperlink ref="H456" r:id="rId455" location="concept/details/0JiP2hN95DnfDuRvrV$1yj" display="http://bsdd.buildingsmart.org/ - concept/details/0JiP2hN95DnfDuRvrV$1yj"/>
    <hyperlink ref="H457" r:id="rId456" location="concept/details/3EwwAD54T4fPY0F8jS3bmB" display="http://bsdd.buildingsmart.org/ - concept/details/3EwwAD54T4fPY0F8jS3bmB"/>
    <hyperlink ref="H458" r:id="rId457" location="concept/details/1HN6xN61PFJv_YGCtL3PlB" display="http://bsdd.buildingsmart.org/ - concept/details/1HN6xN61PFJv_YGCtL3PlB"/>
    <hyperlink ref="H459" r:id="rId458" location="concept/details/1DXfwAWJOHu000025QrE$V" display="http://bsdd.buildingsmart.org/ - concept/details/1DXfwAWJOHu000025QrE$V"/>
    <hyperlink ref="H460" r:id="rId459" location="concept/details/1k4RY4pavFGPoeA22m8TQC" display="http://bsdd.buildingsmart.org/ - concept/details/1k4RY4pavFGPoeA22m8TQC"/>
    <hyperlink ref="H461" r:id="rId460" location="concept/details/28HYoxmgHCnBOnWqX2gmMt" display="http://bsdd.buildingsmart.org/ - concept/details/28HYoxmgHCnBOnWqX2gmMt"/>
    <hyperlink ref="H462" r:id="rId461" location="concept/details/0QhKFpwu5BpuzmPpOSu$9G" display="http://bsdd.buildingsmart.org/ - concept/details/0QhKFpwu5BpuzmPpOSu$9G"/>
    <hyperlink ref="H463" r:id="rId462" location="concept/details/32c97IAGf3v8wwQSdmuxk7" display="http://bsdd.buildingsmart.org/ - concept/details/32c97IAGf3v8wwQSdmuxk7"/>
    <hyperlink ref="H464" r:id="rId463" location="concept/details/0aBRIHs6X3lBh0E3sMDOAL" display="http://bsdd.buildingsmart.org/ - concept/details/0aBRIHs6X3lBh0E3sMDOAL"/>
    <hyperlink ref="H465" r:id="rId464" location="concept/details/2ZWrn$2lDC6O0uyfOc2Eqs" display="http://bsdd.buildingsmart.org/ - concept/details/2ZWrn$2lDC6O0uyfOc2Eqs"/>
    <hyperlink ref="H466" r:id="rId465" location="concept/details/29Tz5fYxXBAhudbTd1JIR_" display="http://bsdd.buildingsmart.org/ - concept/details/29Tz5fYxXBAhudbTd1JIR_"/>
    <hyperlink ref="H467" r:id="rId466" location="concept/details/1CrZLS6nrFfPylPN$J$_s3" display="http://bsdd.buildingsmart.org/ - concept/details/1CrZLS6nrFfPylPN$J$_s3"/>
    <hyperlink ref="H468" r:id="rId467" location="concept/details/17RjKiCWHBAAOkuu6_Bqc_" display="http://bsdd.buildingsmart.org/ - concept/details/17RjKiCWHBAAOkuu6_Bqc_"/>
    <hyperlink ref="H469" r:id="rId468" location="concept/details/0tURQLY4f1sQyxMTFHOdgc" display="http://bsdd.buildingsmart.org/ - concept/details/0tURQLY4f1sQyxMTFHOdgc"/>
    <hyperlink ref="H470" r:id="rId469" location="concept/details/1Pjw$H5jTDbP71OiwFq2aD" display="http://bsdd.buildingsmart.org/ - concept/details/1Pjw$H5jTDbP71OiwFq2aD"/>
    <hyperlink ref="H471" r:id="rId470" location="concept/details/1Y6OL0Kgn2yBIDGA09VdTH" display="http://bsdd.buildingsmart.org/ - concept/details/1Y6OL0Kgn2yBIDGA09VdTH"/>
    <hyperlink ref="H472" r:id="rId471" location="concept/details/3jub2gdlz4fg_xyPwgRtfX" display="http://bsdd.buildingsmart.org/ - concept/details/3jub2gdlz4fg_xyPwgRtfX"/>
    <hyperlink ref="H473" r:id="rId472" location="concept/details/3jLDpnqazEBwEV349tT8EI" display="http://bsdd.buildingsmart.org/ - concept/details/3jLDpnqazEBwEV349tT8EI"/>
    <hyperlink ref="H474" r:id="rId473" location="concept/details/3vHb18oT0Hsm00051Mm008" display="http://bsdd.buildingsmart.org/ - concept/details/3vHb18oT0Hsm00051Mm008"/>
    <hyperlink ref="H475" r:id="rId474" location="concept/details/0WI0nwJOf7L90xXIPiRexS" display="http://bsdd.buildingsmart.org/ - concept/details/0WI0nwJOf7L90xXIPiRexS"/>
    <hyperlink ref="H476" r:id="rId475" location="concept/details/1VQeNxUD18SvTCjInZ41R8" display="http://bsdd.buildingsmart.org/ - concept/details/1VQeNxUD18SvTCjInZ41R8"/>
    <hyperlink ref="H477" r:id="rId476" location="concept/details/0nz$qtfU15F8gryRpi0qix" display="http://bsdd.buildingsmart.org/ - concept/details/0nz$qtfU15F8gryRpi0qix"/>
    <hyperlink ref="H478" r:id="rId477" location="concept/details/2pOQypis99KwByDP__rtri" display="http://bsdd.buildingsmart.org/ - concept/details/2pOQypis99KwByDP__rtri"/>
    <hyperlink ref="H479" r:id="rId478" location="concept/details/06AX9$u1jC19kMWq8aC8Z0" display="http://bsdd.buildingsmart.org/ - concept/details/06AX9$u1jC19kMWq8aC8Z0"/>
    <hyperlink ref="H480" r:id="rId479" location="concept/details/0NZ27tWOXCSg5te9Ii948G" display="http://bsdd.buildingsmart.org/ - concept/details/0NZ27tWOXCSg5te9Ii948G"/>
    <hyperlink ref="H481" r:id="rId480" location="concept/details/1QZJUVPtT8jhaShpEu_T4h" display="http://bsdd.buildingsmart.org/ - concept/details/1QZJUVPtT8jhaShpEu_T4h"/>
    <hyperlink ref="H482" r:id="rId481" location="concept/details/07YvI_sK1ACwk4XMZDQ6Fc" display="http://bsdd.buildingsmart.org/ - concept/details/07YvI_sK1ACwk4XMZDQ6Fc"/>
    <hyperlink ref="H483" r:id="rId482" location="concept/details/3vHXJAoT0Hsm00051Mm008" display="http://bsdd.buildingsmart.org/ - concept/details/3vHXJAoT0Hsm00051Mm008"/>
    <hyperlink ref="H484" r:id="rId483" location="concept/details/30n2FORm598PIkwhTZrWv3" display="http://bsdd.buildingsmart.org/ - concept/details/30n2FORm598PIkwhTZrWv3"/>
    <hyperlink ref="H485" r:id="rId484" location="concept/details/2shvTtgp91FA$bnwGx5b_A" display="http://bsdd.buildingsmart.org/ - concept/details/2shvTtgp91FA$bnwGx5b_A"/>
    <hyperlink ref="H486" r:id="rId485" location="concept/details/1xh8KqmM12sO59pwtj30yL" display="http://bsdd.buildingsmart.org/ - concept/details/1xh8KqmM12sO59pwtj30yL"/>
    <hyperlink ref="H487" r:id="rId486" location="concept/details/3L5jiKetvEEu60jp$aNQaj" display="http://bsdd.buildingsmart.org/ - concept/details/3L5jiKetvEEu60jp$aNQaj"/>
    <hyperlink ref="H488" r:id="rId487" location="concept/details/3jvxBR0tzB28QVtF4gozx1" display="http://bsdd.buildingsmart.org/ - concept/details/3jvxBR0tzB28QVtF4gozx1"/>
    <hyperlink ref="H489" r:id="rId488" location="concept/details/3vHTQQoT0Hsm00051Mm008" display="http://bsdd.buildingsmart.org/ - concept/details/3vHTQQoT0Hsm00051Mm008"/>
    <hyperlink ref="H490" r:id="rId489" location="concept/details/1JAyVBxJv0lfhevO4edFrH" display="http://bsdd.buildingsmart.org/ - concept/details/1JAyVBxJv0lfhevO4edFrH"/>
    <hyperlink ref="H491" r:id="rId490" location="concept/details/298MYAWJOHu000025QrE$V" display="http://bsdd.buildingsmart.org/ - concept/details/298MYAWJOHu000025QrE$V"/>
    <hyperlink ref="H492" r:id="rId491" location="concept/details/2ha4cuVrn2CO6DtVG5m_2l" display="http://bsdd.buildingsmart.org/ - concept/details/2ha4cuVrn2CO6DtVG5m_2l"/>
    <hyperlink ref="H493" r:id="rId492" location="concept/details/1V5TFGhCj6rQINnseLyWxp" display="http://bsdd.buildingsmart.org/ - concept/details/1V5TFGhCj6rQINnseLyWxp"/>
    <hyperlink ref="H494" r:id="rId493" location="concept/details/3j1Gx2Qdf3vOfwbLAdp28o" display="http://bsdd.buildingsmart.org/ - concept/details/3j1Gx2Qdf3vOfwbLAdp28o"/>
    <hyperlink ref="H495" r:id="rId494" location="concept/details/0P37Fe6GnD$wfemPNq$AMd" display="http://bsdd.buildingsmart.org/ - concept/details/0P37Fe6GnD$wfemPNq$AMd"/>
    <hyperlink ref="H496" r:id="rId495" location="concept/details/0AifUTzALDzBt4nMCqKiVt" display="http://bsdd.buildingsmart.org/ - concept/details/0AifUTzALDzBt4nMCqKiVt"/>
    <hyperlink ref="H497" r:id="rId496" location="concept/details/3D3KXb6bPEZ9WuSIA3CG0G" display="http://bsdd.buildingsmart.org/ - concept/details/3D3KXb6bPEZ9WuSIA3CG0G"/>
    <hyperlink ref="H498" r:id="rId497" location="concept/details/3R5kruGt16VPOXX3LQSGXv" display="http://bsdd.buildingsmart.org/ - concept/details/3R5kruGt16VPOXX3LQSGXv"/>
    <hyperlink ref="H499" r:id="rId498" location="concept/details/305yMH0TzDGfos8T3IyJTt" display="http://bsdd.buildingsmart.org/ - concept/details/305yMH0TzDGfos8T3IyJTt"/>
    <hyperlink ref="H500" r:id="rId499" location="concept/details/2dN1rvkfz6vuh68eeI4tM6" display="http://bsdd.buildingsmart.org/ - concept/details/2dN1rvkfz6vuh68eeI4tM6"/>
    <hyperlink ref="H501" r:id="rId500" location="concept/details/1A9Lnhyj9C8fv9jmOz_FQ3" display="http://bsdd.buildingsmart.org/ - concept/details/1A9Lnhyj9C8fv9jmOz_FQ3"/>
    <hyperlink ref="H502" r:id="rId501" location="concept/details/0VrmdrmHv0Hhe6PaVVBO_r" display="http://bsdd.buildingsmart.org/ - concept/details/0VrmdrmHv0Hhe6PaVVBO_r"/>
    <hyperlink ref="H503" r:id="rId502" location="concept/details/1Ggaa0ZK4Ht00000PR1IRl" display="http://bsdd.buildingsmart.org/ - concept/details/1Ggaa0ZK4Ht00000PR1IRl"/>
    <hyperlink ref="H504" r:id="rId503" location="concept/details/2pCmoBw8b6eBn3Ja8abpH3" display="http://bsdd.buildingsmart.org/ - concept/details/2pCmoBw8b6eBn3Ja8abpH3"/>
    <hyperlink ref="H505" r:id="rId504" location="concept/details/3tvMvSswv0Dw7HoTwOQYKj" display="http://bsdd.buildingsmart.org/ - concept/details/3tvMvSswv0Dw7HoTwOQYKj"/>
    <hyperlink ref="H506" r:id="rId505" location="concept/details/1CyptngGvAABsC_$o3jRvY" display="http://bsdd.buildingsmart.org/ - concept/details/1CyptngGvAABsC_$o3jRvY"/>
    <hyperlink ref="H507" r:id="rId506" location="concept/details/3ybd$Jhz14nwCVkFdz9PE5" display="http://bsdd.buildingsmart.org/ - concept/details/3ybd$Jhz14nwCVkFdz9PE5"/>
    <hyperlink ref="H508" r:id="rId507" location="concept/details/2Cxjz40Xb4ix6YnOGnhfbX" display="http://bsdd.buildingsmart.org/ - concept/details/2Cxjz40Xb4ix6YnOGnhfbX"/>
    <hyperlink ref="H509" r:id="rId508" location="concept/details/2ybPlnVTn5GxrXTzbMuvpy" display="http://bsdd.buildingsmart.org/ - concept/details/2ybPlnVTn5GxrXTzbMuvpy"/>
    <hyperlink ref="H510" r:id="rId509" location="concept/details/1iYoq8pPfBxO1TziwhWk86" display="http://bsdd.buildingsmart.org/ - concept/details/1iYoq8pPfBxO1TziwhWk86"/>
    <hyperlink ref="H511" r:id="rId510" location="concept/details/1QiSyxJQbFtQA1swavrj05" display="http://bsdd.buildingsmart.org/ - concept/details/1QiSyxJQbFtQA1swavrj05"/>
    <hyperlink ref="H512" r:id="rId511" location="concept/details/1WG_DzY7b2zh8hXAF4mBcu" display="http://bsdd.buildingsmart.org/ - concept/details/1WG_DzY7b2zh8hXAF4mBcu"/>
    <hyperlink ref="H513" r:id="rId512" location="concept/details/1QpkHLrIX7OP2Z52hKkPKb" display="http://bsdd.buildingsmart.org/ - concept/details/1QpkHLrIX7OP2Z52hKkPKb"/>
    <hyperlink ref="H514" r:id="rId513" location="concept/details/3RNvpaYLDAWx1GPeK_ApU2" display="http://bsdd.buildingsmart.org/ - concept/details/3RNvpaYLDAWx1GPeK_ApU2"/>
    <hyperlink ref="H515" r:id="rId514" location="concept/details/0Q3_ShqyDBXQZM8puG3gFs" display="http://bsdd.buildingsmart.org/ - concept/details/0Q3_ShqyDBXQZM8puG3gFs"/>
    <hyperlink ref="H516" r:id="rId515" location="concept/details/3jzqsOhKr6BBEBQ_5KgD9L" display="http://bsdd.buildingsmart.org/ - concept/details/3jzqsOhKr6BBEBQ_5KgD9L"/>
    <hyperlink ref="H517" r:id="rId516" location="concept/details/0S4M$d9kX1Het2B3J9juZi" display="http://bsdd.buildingsmart.org/ - concept/details/0S4M$d9kX1Het2B3J9juZi"/>
    <hyperlink ref="H518" r:id="rId517" location="concept/details/28XLScxJLFzPb_nLdo3AHA" display="http://bsdd.buildingsmart.org/ - concept/details/28XLScxJLFzPb_nLdo3AHA"/>
    <hyperlink ref="H519" r:id="rId518" location="concept/details/1KPFFDgqjCwRQDfiRBO5eD" display="http://bsdd.buildingsmart.org/ - concept/details/1KPFFDgqjCwRQDfiRBO5eD"/>
    <hyperlink ref="H520" r:id="rId519" location="concept/details/2LrSJhO0n5thbEvG3qQ0wj" display="http://bsdd.buildingsmart.org/ - concept/details/2LrSJhO0n5thbEvG3qQ0wj"/>
    <hyperlink ref="H521" r:id="rId520" location="concept/details/3GYRNT_9X4G9UkWwYIb1ke" display="http://bsdd.buildingsmart.org/ - concept/details/3GYRNT_9X4G9UkWwYIb1ke"/>
    <hyperlink ref="H522" r:id="rId521" location="concept/details/0UfcA6kXj8ugkr3Eaqgi0O" display="http://bsdd.buildingsmart.org/ - concept/details/0UfcA6kXj8ugkr3Eaqgi0O"/>
    <hyperlink ref="H523" r:id="rId522" location="concept/details/0_ssjCLED0iO1BoalOdfE5" display="http://bsdd.buildingsmart.org/ - concept/details/0_ssjCLED0iO1BoalOdfE5"/>
    <hyperlink ref="H524" r:id="rId523" location="concept/details/0pJfyJwPf2n8N42FluttRA" display="http://bsdd.buildingsmart.org/ - concept/details/0pJfyJwPf2n8N42FluttRA"/>
    <hyperlink ref="H525" r:id="rId524" location="concept/details/0flaZ92vbDNRuE17$AcRxW" display="http://bsdd.buildingsmart.org/ - concept/details/0flaZ92vbDNRuE17$AcRxW"/>
    <hyperlink ref="H526" r:id="rId525" location="concept/details/1oYrOL66z2x9Odm8BGiwOS" display="http://bsdd.buildingsmart.org/ - concept/details/1oYrOL66z2x9Odm8BGiwOS"/>
    <hyperlink ref="H527" r:id="rId526" location="concept/details/0Wz3bf30D1J8ZEIFsnj2ot" display="http://bsdd.buildingsmart.org/ - concept/details/0Wz3bf30D1J8ZEIFsnj2ot"/>
    <hyperlink ref="H528" r:id="rId527" location="concept/details/304bKopWj9wg2uW1_HP7NP" display="http://bsdd.buildingsmart.org/ - concept/details/304bKopWj9wg2uW1_HP7NP"/>
    <hyperlink ref="H529" r:id="rId528" location="concept/details/3NmP33KJX5j8Oq7Ihlazy3" display="http://bsdd.buildingsmart.org/ - concept/details/3NmP33KJX5j8Oq7Ihlazy3"/>
    <hyperlink ref="H530" r:id="rId529" location="concept/details/0bS84V5CbFtucapWzP1FNp" display="http://bsdd.buildingsmart.org/ - concept/details/0bS84V5CbFtucapWzP1FNp"/>
    <hyperlink ref="H531" r:id="rId530" location="concept/details/1HJx7yoO17URFlnqDLSDGl" display="http://bsdd.buildingsmart.org/ - concept/details/1HJx7yoO17URFlnqDLSDGl"/>
    <hyperlink ref="H532" r:id="rId531" location="concept/details/1b2Lyppw90PxLiFWeumyJI" display="http://bsdd.buildingsmart.org/ - concept/details/1b2Lyppw90PxLiFWeumyJI"/>
    <hyperlink ref="H533" r:id="rId532" location="concept/details/2uRBeka$f7VO7wSjAZ84xB" display="http://bsdd.buildingsmart.org/ - concept/details/2uRBeka$f7VO7wSjAZ84xB"/>
    <hyperlink ref="H534" r:id="rId533" location="concept/details/1yzUEuMPr9gAS4cEa_KNdX" display="http://bsdd.buildingsmart.org/ - concept/details/1yzUEuMPr9gAS4cEa_KNdX"/>
    <hyperlink ref="H535" r:id="rId534" location="concept/details/2vx4H3AKf53OXnWuc08aYk" display="http://bsdd.buildingsmart.org/ - concept/details/2vx4H3AKf53OXnWuc08aYk"/>
    <hyperlink ref="H536" r:id="rId535" location="concept/details/2irEHLn1L9qAJN3v3rEgJX" display="http://bsdd.buildingsmart.org/ - concept/details/2irEHLn1L9qAJN3v3rEgJX"/>
    <hyperlink ref="H537" r:id="rId536" location="concept/details/3n433jeGnDahiAFYFkxud7" display="http://bsdd.buildingsmart.org/ - concept/details/3n433jeGnDahiAFYFkxud7"/>
    <hyperlink ref="H538" r:id="rId537" location="concept/details/1RkhRQamn7_hdvcOijoMQc" display="http://bsdd.buildingsmart.org/ - concept/details/1RkhRQamn7_hdvcOijoMQc"/>
    <hyperlink ref="H539" r:id="rId538" location="concept/details/2bGEyPLh1BKxnsXKYqDjKV" display="http://bsdd.buildingsmart.org/ - concept/details/2bGEyPLh1BKxnsXKYqDjKV"/>
    <hyperlink ref="H540" r:id="rId539" location="concept/details/2$Ck5zlFvFgfqc9Vu0lVo5" display="http://bsdd.buildingsmart.org/ - concept/details/2$Ck5zlFvFgfqc9Vu0lVo5"/>
    <hyperlink ref="H541" r:id="rId540" location="concept/details/3di5G3dAf8BfGbfxedjxWt" display="http://bsdd.buildingsmart.org/ - concept/details/3di5G3dAf8BfGbfxedjxWt"/>
    <hyperlink ref="H542" r:id="rId541" location="concept/details/2yM_W9inX6ww75708T9Sup" display="http://bsdd.buildingsmart.org/ - concept/details/2yM_W9inX6ww75708T9Sup"/>
    <hyperlink ref="H543" r:id="rId542" location="concept/details/0WwSFY_pv4DRJhMgGycDPH" display="http://bsdd.buildingsmart.org/ - concept/details/0WwSFY_pv4DRJhMgGycDPH"/>
    <hyperlink ref="H544" r:id="rId543" location="concept/details/2YspRtqfTEkA4dmve3I9G7" display="http://bsdd.buildingsmart.org/ - concept/details/2YspRtqfTEkA4dmve3I9G7"/>
    <hyperlink ref="H545" r:id="rId544" location="concept/details/0ENVMXsr5C2vjYdPsGDf45" display="http://bsdd.buildingsmart.org/ - concept/details/0ENVMXsr5C2vjYdPsGDf45"/>
    <hyperlink ref="H546" r:id="rId545" location="concept/details/09q7A4KsnE0QjJ82lyqTpx" display="http://bsdd.buildingsmart.org/ - concept/details/09q7A4KsnE0QjJ82lyqTpx"/>
    <hyperlink ref="H547" r:id="rId546" location="concept/details/3H5rHPOub3B881kW7b9l_i" display="http://bsdd.buildingsmart.org/ - concept/details/3H5rHPOub3B881kW7b9l_i"/>
    <hyperlink ref="H548" r:id="rId547" location="concept/details/2wIoGLo0H28RI5fydZg$th" display="http://bsdd.buildingsmart.org/ - concept/details/2wIoGLo0H28RI5fydZg$th"/>
    <hyperlink ref="H549" r:id="rId548" location="concept/details/2iDKdzebD4FQD3lTzSPGI6" display="http://bsdd.buildingsmart.org/ - concept/details/2iDKdzebD4FQD3lTzSPGI6"/>
    <hyperlink ref="H550" r:id="rId549" location="concept/details/3f2m1YuEb6lv2BGHgQUJ2I" display="http://bsdd.buildingsmart.org/ - concept/details/3f2m1YuEb6lv2BGHgQUJ2I"/>
    <hyperlink ref="H551" r:id="rId550" location="concept/details/0sPfk08dyHu000025QrE$V" display="http://bsdd.buildingsmart.org/ - concept/details/0sPfk08dyHu000025QrE$V"/>
    <hyperlink ref="H552" r:id="rId551" location="concept/details/3e2_c03IrEkBipjZGSXWZk" display="http://bsdd.buildingsmart.org/ - concept/details/3e2_c03IrEkBipjZGSXWZk"/>
    <hyperlink ref="H553" r:id="rId552" location="concept/details/1PA8DyXK16$BnXa1MKDY_l" display="http://bsdd.buildingsmart.org/ - concept/details/1PA8DyXK16$BnXa1MKDY_l"/>
    <hyperlink ref="H554" r:id="rId553" location="concept/details/2utgPRwOv5787UumqkcxD5" display="http://bsdd.buildingsmart.org/ - concept/details/2utgPRwOv5787UumqkcxD5"/>
    <hyperlink ref="H555" r:id="rId554" location="concept/details/1h3lQ03cOHtm00025QrE$V" display="http://bsdd.buildingsmart.org/ - concept/details/1h3lQ03cOHtm00025QrE$V"/>
    <hyperlink ref="H556" r:id="rId555" location="concept/details/0SAIf20NT24flcyLHHMycL" display="http://bsdd.buildingsmart.org/ - concept/details/0SAIf20NT24flcyLHHMycL"/>
    <hyperlink ref="H557" r:id="rId556" location="concept/details/0gwkOu01n5Ih5w$MWPwEKL" display="http://bsdd.buildingsmart.org/ - concept/details/0gwkOu01n5Ih5w$MWPwEKL"/>
    <hyperlink ref="H558" r:id="rId557" location="concept/details/3vHTlgoT0Hsm00051Mm008" display="http://bsdd.buildingsmart.org/ - concept/details/3vHTlgoT0Hsm00051Mm008"/>
    <hyperlink ref="H559" r:id="rId558" location="concept/details/1tLCU3t8n3kh1QGJpZXKLC" display="http://bsdd.buildingsmart.org/ - concept/details/1tLCU3t8n3kh1QGJpZXKLC"/>
    <hyperlink ref="H560" r:id="rId559" location="concept/details/3KupxLUj96KBO$aD6W_lYs" display="http://bsdd.buildingsmart.org/ - concept/details/3KupxLUj96KBO$aD6W_lYs"/>
    <hyperlink ref="H561" r:id="rId560" location="concept/details/30jI8tb6P9ug4pLNWVJ4i5" display="http://bsdd.buildingsmart.org/ - concept/details/30jI8tb6P9ug4pLNWVJ4i5"/>
    <hyperlink ref="H562" r:id="rId561" location="concept/details/0Ez1ple5j88vC16EVRXFS2" display="http://bsdd.buildingsmart.org/ - concept/details/0Ez1ple5j88vC16EVRXFS2"/>
    <hyperlink ref="H563" r:id="rId562" location="concept/details/0cgiZxCNPDeQ9AEr_O0yaR" display="http://bsdd.buildingsmart.org/ - concept/details/0cgiZxCNPDeQ9AEr_O0yaR"/>
    <hyperlink ref="H564" r:id="rId563" location="concept/details/0M8xGc4W95_AfZpx$qFGdU" display="http://bsdd.buildingsmart.org/ - concept/details/0M8xGc4W95_AfZpx$qFGdU"/>
    <hyperlink ref="H565" r:id="rId564" location="concept/details/3DV84X5O1EXBxo1i0VZ7Ve" display="http://bsdd.buildingsmart.org/ - concept/details/3DV84X5O1EXBxo1i0VZ7Ve"/>
    <hyperlink ref="H566" r:id="rId565" location="concept/details/1SMYz3yGDBBwPcWjeZTWrS" display="http://bsdd.buildingsmart.org/ - concept/details/1SMYz3yGDBBwPcWjeZTWrS"/>
    <hyperlink ref="H567" r:id="rId566" location="concept/details/2wOPWYC8L4ORFz1I_LFZ4y" display="http://bsdd.buildingsmart.org/ - concept/details/2wOPWYC8L4ORFz1I_LFZ4y"/>
    <hyperlink ref="H568" r:id="rId567" location="concept/details/26RYNyd9X5SvQFiz7c_xOu" display="http://bsdd.buildingsmart.org/ - concept/details/26RYNyd9X5SvQFiz7c_xOu"/>
    <hyperlink ref="H569" r:id="rId568" location="concept/details/22tdIwqOXFUPDeKptVjjn0" display="http://bsdd.buildingsmart.org/ - concept/details/22tdIwqOXFUPDeKptVjjn0"/>
    <hyperlink ref="H570" r:id="rId569" location="concept/details/19Me40WJOHu000025QrE$V" display="http://bsdd.buildingsmart.org/ - concept/details/19Me40WJOHu000025QrE$V"/>
    <hyperlink ref="H571" r:id="rId570" location="concept/details/3vHKlGoT0Hsm00051Mm008" display="http://bsdd.buildingsmart.org/ - concept/details/3vHKlGoT0Hsm00051Mm008"/>
    <hyperlink ref="H572" r:id="rId571" location="concept/details/1AYwu0WJOHu000025QrE$V" display="http://bsdd.buildingsmart.org/ - concept/details/1AYwu0WJOHu000025QrE$V"/>
    <hyperlink ref="H573" r:id="rId572" location="concept/details/3RM8jzsnzAJhkyxCGq3f$W" display="http://bsdd.buildingsmart.org/ - concept/details/3RM8jzsnzAJhkyxCGq3f$W"/>
    <hyperlink ref="H574" r:id="rId573" location="concept/details/0K6a1oJUH6$RIebkXm5adz" display="http://bsdd.buildingsmart.org/ - concept/details/0K6a1oJUH6$RIebkXm5adz"/>
    <hyperlink ref="H575" r:id="rId574" location="concept/details/1WS_2qny15UAeTNhb9fO09" display="http://bsdd.buildingsmart.org/ - concept/details/1WS_2qny15UAeTNhb9fO09"/>
    <hyperlink ref="H576" r:id="rId575" location="concept/details/0H2jwsW6z1p9PWzTR4QAek" display="http://bsdd.buildingsmart.org/ - concept/details/0H2jwsW6z1p9PWzTR4QAek"/>
    <hyperlink ref="H577" r:id="rId576" location="concept/details/1HhkDUxz9CA95UI8dSliId" display="http://bsdd.buildingsmart.org/ - concept/details/1HhkDUxz9CA95UI8dSliId"/>
    <hyperlink ref="H578" r:id="rId577" location="concept/details/1Zl1PSGKD1GenAmIFrd1JJ" display="http://bsdd.buildingsmart.org/ - concept/details/1Zl1PSGKD1GenAmIFrd1JJ"/>
    <hyperlink ref="H579" r:id="rId578" location="concept/details/3ogy9Wa5v4nxrkF1SR6o3z" display="http://bsdd.buildingsmart.org/ - concept/details/3ogy9Wa5v4nxrkF1SR6o3z"/>
    <hyperlink ref="H580" r:id="rId579" location="concept/details/0d6zf5CALAj8Pn9rH5K1IB" display="http://bsdd.buildingsmart.org/ - concept/details/0d6zf5CALAj8Pn9rH5K1IB"/>
    <hyperlink ref="H581" r:id="rId580" location="concept/details/2hLFIKyPzAb9R$EYtc613J" display="http://bsdd.buildingsmart.org/ - concept/details/2hLFIKyPzAb9R$EYtc613J"/>
    <hyperlink ref="H582" r:id="rId581" location="concept/details/0ICx3mvoX6oRoH$rvrBtR6" display="http://bsdd.buildingsmart.org/ - concept/details/0ICx3mvoX6oRoH$rvrBtR6"/>
    <hyperlink ref="H583" r:id="rId582" location="concept/details/3des0BOCrELRpyUMYxynxy" display="http://bsdd.buildingsmart.org/ - concept/details/3des0BOCrELRpyUMYxynxy"/>
    <hyperlink ref="H584" r:id="rId583" location="concept/details/0LIxLy4i52AuxlB_g8ICqP" display="http://bsdd.buildingsmart.org/ - concept/details/0LIxLy4i52AuxlB_g8ICqP"/>
    <hyperlink ref="H585" r:id="rId584" location="concept/details/3vHb5goT0Hsm00051Mm008" display="http://bsdd.buildingsmart.org/ - concept/details/3vHb5goT0Hsm00051Mm008"/>
    <hyperlink ref="H586" r:id="rId585" location="concept/details/1VZFYnjtHEg828SaIpJ1v5" display="http://bsdd.buildingsmart.org/ - concept/details/1VZFYnjtHEg828SaIpJ1v5"/>
    <hyperlink ref="H587" r:id="rId586" location="concept/details/1v6W_KVKD3f97kA$_kaIdb" display="http://bsdd.buildingsmart.org/ - concept/details/1v6W_KVKD3f97kA$_kaIdb"/>
    <hyperlink ref="H588" r:id="rId587" location="concept/details/1cPlROVvrFOwhtwczi0WHF" display="http://bsdd.buildingsmart.org/ - concept/details/1cPlROVvrFOwhtwczi0WHF"/>
    <hyperlink ref="H589" r:id="rId588" location="concept/details/0WOKp89$50GgMQP8MZGP8k" display="http://bsdd.buildingsmart.org/ - concept/details/0WOKp89$50GgMQP8MZGP8k"/>
    <hyperlink ref="H590" r:id="rId589" location="concept/details/1gGkO0b2eHtW00025QrE$V" display="http://bsdd.buildingsmart.org/ - concept/details/1gGkO0b2eHtW00025QrE$V"/>
    <hyperlink ref="H591" r:id="rId590" location="concept/details/3xupOzTl94EgwA4U3vd3q6" display="http://bsdd.buildingsmart.org/ - concept/details/3xupOzTl94EgwA4U3vd3q6"/>
    <hyperlink ref="H592" r:id="rId591" location="concept/details/3C3mrpLdz1wv4$Ddq6CJUj" display="http://bsdd.buildingsmart.org/ - concept/details/3C3mrpLdz1wv4$Ddq6CJUj"/>
    <hyperlink ref="H593" r:id="rId592" location="concept/details/1zr41LAp5FYQbN7OsWF5Be" display="http://bsdd.buildingsmart.org/ - concept/details/1zr41LAp5FYQbN7OsWF5Be"/>
    <hyperlink ref="H594" r:id="rId593" location="concept/details/3tqpxNX4H59QV3NNvWpILG" display="http://bsdd.buildingsmart.org/ - concept/details/3tqpxNX4H59QV3NNvWpILG"/>
    <hyperlink ref="H595" r:id="rId594" location="concept/details/2TwVsckbf3mwAY1rXxfBuV" display="http://bsdd.buildingsmart.org/ - concept/details/2TwVsckbf3mwAY1rXxfBuV"/>
    <hyperlink ref="H596" r:id="rId595" location="concept/details/0gEna34hH1gwDc2qzr5Jcc" display="http://bsdd.buildingsmart.org/ - concept/details/0gEna34hH1gwDc2qzr5Jcc"/>
    <hyperlink ref="H597" r:id="rId596" location="concept/details/2T7MMtJQb0xuemPdAhW8U0" display="http://bsdd.buildingsmart.org/ - concept/details/2T7MMtJQb0xuemPdAhW8U0"/>
    <hyperlink ref="H598" r:id="rId597" location="concept/details/2tYZ9Vy$r86AvZu01$YY2B" display="http://bsdd.buildingsmart.org/ - concept/details/2tYZ9Vy$r86AvZu01$YY2B"/>
    <hyperlink ref="H599" r:id="rId598" location="concept/details/3S$phQfuH8zxocCkZTW72j" display="http://bsdd.buildingsmart.org/ - concept/details/3S$phQfuH8zxocCkZTW72j"/>
    <hyperlink ref="H600" r:id="rId599" location="concept/details/2Ii$T3d_9DjgsrLWiuuia2" display="http://bsdd.buildingsmart.org/ - concept/details/2Ii$T3d_9DjgsrLWiuuia2"/>
    <hyperlink ref="H601" r:id="rId600" location="concept/details/04LJcA8dyHu000025QrE$V" display="http://bsdd.buildingsmart.org/ - concept/details/04LJcA8dyHu000025QrE$V"/>
    <hyperlink ref="H602" r:id="rId601" location="concept/details/0rBl9O1yH4fOYU0kqPjmzX" display="http://bsdd.buildingsmart.org/ - concept/details/0rBl9O1yH4fOYU0kqPjmzX"/>
    <hyperlink ref="H603" r:id="rId602" location="concept/details/33YPipw$b4qQ2AIQOpLuAB" display="http://bsdd.buildingsmart.org/ - concept/details/33YPipw$b4qQ2AIQOpLuAB"/>
    <hyperlink ref="H604" r:id="rId603" location="concept/details/1ZB4GqaVLArfKNAWQUxmZH" display="http://bsdd.buildingsmart.org/ - concept/details/1ZB4GqaVLArfKNAWQUxmZH"/>
    <hyperlink ref="H605" r:id="rId604" location="concept/details/2_VzwIPjjELuBQWrsegtcU" display="http://bsdd.buildingsmart.org/ - concept/details/2_VzwIPjjELuBQWrsegtcU"/>
    <hyperlink ref="H606" r:id="rId605" location="concept/details/0NnkyXplbBO9bQ4K7gCzh4" display="http://bsdd.buildingsmart.org/ - concept/details/0NnkyXplbBO9bQ4K7gCzh4"/>
    <hyperlink ref="H607" r:id="rId606" location="concept/details/0B5YL_T0j4UuZo6E0BB$Si" display="http://bsdd.buildingsmart.org/ - concept/details/0B5YL_T0j4UuZo6E0BB$Si"/>
    <hyperlink ref="H608" r:id="rId607" location="concept/details/3kmQBgZn98qhFJZdN3F4UO" display="http://bsdd.buildingsmart.org/ - concept/details/3kmQBgZn98qhFJZdN3F4UO"/>
    <hyperlink ref="H609" r:id="rId608" location="concept/details/3vHTn4oT0Hsm00051Mm008" display="http://bsdd.buildingsmart.org/ - concept/details/3vHTn4oT0Hsm00051Mm008"/>
    <hyperlink ref="H610" r:id="rId609" location="concept/details/2VCYU0WJmHu000025QrE$V" display="http://bsdd.buildingsmart.org/ - concept/details/2VCYU0WJmHu000025QrE$V"/>
    <hyperlink ref="H611" r:id="rId610" location="concept/details/1grZ$lBw916eqItpEAOwaY" display="http://bsdd.buildingsmart.org/ - concept/details/1grZ$lBw916eqItpEAOwaY"/>
    <hyperlink ref="H612" r:id="rId611" location="concept/details/0WRVHZoxL5ygJE$xuIbZBn" display="http://bsdd.buildingsmart.org/ - concept/details/0WRVHZoxL5ygJE$xuIbZBn"/>
    <hyperlink ref="H613" r:id="rId612" location="concept/details/1gSX6IBJL0mR6DTnFw440W" display="http://bsdd.buildingsmart.org/ - concept/details/1gSX6IBJL0mR6DTnFw440W"/>
    <hyperlink ref="H614" r:id="rId613" location="concept/details/3vHOWqoT0Hsm00051Mm008" display="http://bsdd.buildingsmart.org/ - concept/details/3vHOWqoT0Hsm00051Mm008"/>
    <hyperlink ref="H615" r:id="rId614" location="concept/details/3dRVodONPCoP01i$qGS79n" display="http://bsdd.buildingsmart.org/ - concept/details/3dRVodONPCoP01i$qGS79n"/>
    <hyperlink ref="H616" r:id="rId615" location="concept/details/3C7UPWe2145xTMqs4QEC5l" display="http://bsdd.buildingsmart.org/ - concept/details/3C7UPWe2145xTMqs4QEC5l"/>
    <hyperlink ref="H617" r:id="rId616" location="concept/details/3GWeaAx7D2vRWtZHExWGBq" display="http://bsdd.buildingsmart.org/ - concept/details/3GWeaAx7D2vRWtZHExWGBq"/>
    <hyperlink ref="H618" r:id="rId617" location="concept/details/3N_z80I6yHuO00025QrE$V" display="http://bsdd.buildingsmart.org/ - concept/details/3N_z80I6yHuO00025QrE$V"/>
    <hyperlink ref="H619" r:id="rId618" location="concept/details/2E737ZulL8NR$2NH4ccMkY" display="http://bsdd.buildingsmart.org/ - concept/details/2E737ZulL8NR$2NH4ccMkY"/>
    <hyperlink ref="H620" r:id="rId619" location="concept/details/3ClM1E1g14bQ$FbXUuhMlj" display="http://bsdd.buildingsmart.org/ - concept/details/3ClM1E1g14bQ$FbXUuhMlj"/>
    <hyperlink ref="H621" r:id="rId620" location="concept/details/3vHRWOoT0Hsm00051Mm008" display="http://bsdd.buildingsmart.org/ - concept/details/3vHRWOoT0Hsm00051Mm008"/>
    <hyperlink ref="H622" r:id="rId621" location="concept/details/24lk32o1f9Be7tRBeOhTV9" display="http://bsdd.buildingsmart.org/ - concept/details/24lk32o1f9Be7tRBeOhTV9"/>
    <hyperlink ref="H623" r:id="rId622" location="concept/details/0QXNqIaY58ARlIeBKvxECI" display="http://bsdd.buildingsmart.org/ - concept/details/0QXNqIaY58ARlIeBKvxECI"/>
    <hyperlink ref="H624" r:id="rId623" location="concept/details/3vHMYuoT0Hsm00051Mm008" display="http://bsdd.buildingsmart.org/ - concept/details/3vHMYuoT0Hsm00051Mm008"/>
    <hyperlink ref="H625" r:id="rId624" location="concept/details/3IDC97O4T1CuMtUCqyFQPu" display="http://bsdd.buildingsmart.org/ - concept/details/3IDC97O4T1CuMtUCqyFQPu"/>
    <hyperlink ref="H626" r:id="rId625" location="concept/details/27zTh8rNLDSAijelzUDvKT" display="http://bsdd.buildingsmart.org/ - concept/details/27zTh8rNLDSAijelzUDvKT"/>
    <hyperlink ref="H627" r:id="rId626" location="concept/details/06MjEdzjL2wvfikp7ApUKf" display="http://bsdd.buildingsmart.org/ - concept/details/06MjEdzjL2wvfikp7ApUKf"/>
    <hyperlink ref="H628" r:id="rId627" location="concept/details/1V1lbQRnXETRBJ4QQu6f_7" display="http://bsdd.buildingsmart.org/ - concept/details/1V1lbQRnXETRBJ4QQu6f_7"/>
    <hyperlink ref="H629" r:id="rId628" location="concept/details/0QXNqIaY58ARlIeBKvxECI" display="http://bsdd.buildingsmart.org/ - concept/details/0QXNqIaY58ARlIeBKvxECI"/>
    <hyperlink ref="H630" r:id="rId629" location="concept/details/3tOAgxzOHDY8XFLb9lDnPE" display="http://bsdd.buildingsmart.org/ - concept/details/3tOAgxzOHDY8XFLb9lDnPE"/>
    <hyperlink ref="H631" r:id="rId630" location="concept/details/1s0Oz2a_D2EhBLB4gETloH" display="http://bsdd.buildingsmart.org/ - concept/details/1s0Oz2a_D2EhBLB4gETloH"/>
    <hyperlink ref="H632" r:id="rId631" location="concept/details/3MCWw0I6yHuO00025QrE$V" display="http://bsdd.buildingsmart.org/ - concept/details/3MCWw0I6yHuO00025QrE$V"/>
    <hyperlink ref="H633" r:id="rId632" location="concept/details/2vxZIxMAr5fOgevz29VYXQ" display="http://bsdd.buildingsmart.org/ - concept/details/2vxZIxMAr5fOgevz29VYXQ"/>
    <hyperlink ref="H634" r:id="rId633" location="concept/details/1Vs$vIR1nDz9F2BDeT83yI" display="http://bsdd.buildingsmart.org/ - concept/details/1Vs$vIR1nDz9F2BDeT83yI"/>
    <hyperlink ref="H635" r:id="rId634" location="concept/details/16GvaM0XT1sQEvokzWtktQ" display="http://bsdd.buildingsmart.org/ - concept/details/16GvaM0XT1sQEvokzWtktQ"/>
    <hyperlink ref="H636" r:id="rId635" location="concept/details/3JDnuAI6yHuO00025QrE$V" display="http://bsdd.buildingsmart.org/ - concept/details/3JDnuAI6yHuO00025QrE$V"/>
    <hyperlink ref="H637" r:id="rId636" location="concept/details/3vHV7UoT0Hsm00051Mm008" display="http://bsdd.buildingsmart.org/ - concept/details/3vHV7UoT0Hsm00051Mm008"/>
    <hyperlink ref="H638" r:id="rId637" location="concept/details/1q16MzsGzB3OJlha4aFK3K" display="http://bsdd.buildingsmart.org/ - concept/details/1q16MzsGzB3OJlha4aFK3K"/>
    <hyperlink ref="H639" r:id="rId638" location="concept/details/37yKYZTJn39gmnfvw_ImRg" display="http://bsdd.buildingsmart.org/ - concept/details/37yKYZTJn39gmnfvw_ImRg"/>
    <hyperlink ref="H640" r:id="rId639" location="concept/details/3CKGpJG$56dufV4d4t5clL" display="http://bsdd.buildingsmart.org/ - concept/details/3CKGpJG$56dufV4d4t5clL"/>
    <hyperlink ref="H641" r:id="rId640" location="concept/details/17PDm08e8Hu000025QrE$V" display="http://bsdd.buildingsmart.org/ - concept/details/17PDm08e8Hu000025QrE$V"/>
    <hyperlink ref="H642" r:id="rId641" location="concept/details/1AYwu0WJOHu000025QrE$V" display="http://bsdd.buildingsmart.org/ - concept/details/1AYwu0WJOHu000025QrE$V"/>
    <hyperlink ref="H643" r:id="rId642" location="concept/details/3vHbREoT0Hsm00051Mm008" display="http://bsdd.buildingsmart.org/ - concept/details/3vHbREoT0Hsm00051Mm008"/>
    <hyperlink ref="H644" r:id="rId643" location="concept/details/0mzV9U0J10ffIlOr_NhTQz" display="http://bsdd.buildingsmart.org/ - concept/details/0mzV9U0J10ffIlOr_NhTQz"/>
    <hyperlink ref="H645" r:id="rId644" location="concept/details/3y5ByEf6zEpBK1kvSFkqRv" display="http://bsdd.buildingsmart.org/ - concept/details/3y5ByEf6zEpBK1kvSFkqRv"/>
    <hyperlink ref="H646" r:id="rId645" location="concept/details/3EDWVA$frBnOeTUmNL7p2Z" display="http://bsdd.buildingsmart.org/ - concept/details/3EDWVA$frBnOeTUmNL7p2Z"/>
    <hyperlink ref="H647" r:id="rId646" location="concept/details/2M_f5kYvn6ng86eZ1EJzKW" display="http://bsdd.buildingsmart.org/ - concept/details/2M_f5kYvn6ng86eZ1EJzKW"/>
    <hyperlink ref="H648" r:id="rId647" location="concept/details/04$FFRDXL02vHCFQ30jj$S" display="http://bsdd.buildingsmart.org/ - concept/details/04$FFRDXL02vHCFQ30jj$S"/>
    <hyperlink ref="H649" r:id="rId648" location="concept/details/2rlQJP$F9Br9vXCtCOIN0b" display="http://bsdd.buildingsmart.org/ - concept/details/2rlQJP$F9Br9vXCtCOIN0b"/>
    <hyperlink ref="H650" r:id="rId649" location="concept/details/3N_z80I6yHuO00025QrE$V" display="http://bsdd.buildingsmart.org/ - concept/details/3N_z80I6yHuO00025QrE$V"/>
    <hyperlink ref="H651" r:id="rId650" location="concept/details/2AIpt4kzj8YwT1si$uMNKZ" display="http://bsdd.buildingsmart.org/ - concept/details/2AIpt4kzj8YwT1si$uMNKZ"/>
    <hyperlink ref="H652" r:id="rId651" location="concept/details/3POXbyRpL73B9Z9Bkpwz3A" display="http://bsdd.buildingsmart.org/ - concept/details/3POXbyRpL73B9Z9Bkpwz3A"/>
    <hyperlink ref="H653" r:id="rId652" location="concept/details/2llfl1yWnC_Q5ET4kcX1Gd" display="http://bsdd.buildingsmart.org/ - concept/details/2llfl1yWnC_Q5ET4kcX1Gd"/>
    <hyperlink ref="H654" r:id="rId653" location="concept/details/23nzUPx1bDN9T5plZdmtyB" display="http://bsdd.buildingsmart.org/ - concept/details/23nzUPx1bDN9T5plZdmtyB"/>
    <hyperlink ref="H655" r:id="rId654" location="concept/details/1UGWZj2g54hfgktqNA4RzF" display="http://bsdd.buildingsmart.org/ - concept/details/1UGWZj2g54hfgktqNA4RzF"/>
    <hyperlink ref="H656" r:id="rId655" location="concept/details/0kYESSB5rF_wvziQe$iAzz" display="http://bsdd.buildingsmart.org/ - concept/details/0kYESSB5rF_wvziQe$iAzz"/>
    <hyperlink ref="H657" r:id="rId656" location="concept/details/22dcAZkiL5fgb71EoDLwYr" display="http://bsdd.buildingsmart.org/ - concept/details/22dcAZkiL5fgb71EoDLwYr"/>
    <hyperlink ref="H658" r:id="rId657" location="concept/details/1rPuqSiIT17PWRONlQBQ$k" display="http://bsdd.buildingsmart.org/ - concept/details/1rPuqSiIT17PWRONlQBQ$k"/>
    <hyperlink ref="H659" r:id="rId658" location="concept/details/3Q3p6ABReHtm00025QrE$V" display="http://bsdd.buildingsmart.org/ - concept/details/3Q3p6ABReHtm00025QrE$V"/>
    <hyperlink ref="H660" r:id="rId659" location="concept/details/1qdVcvHJj6TxJQ5kq5FaQz" display="http://bsdd.buildingsmart.org/ - concept/details/1qdVcvHJj6TxJQ5kq5FaQz"/>
    <hyperlink ref="H661" r:id="rId660" location="concept/details/1sX7r9ywH48hUrQw2U3JnE" display="http://bsdd.buildingsmart.org/ - concept/details/1sX7r9ywH48hUrQw2U3JnE"/>
    <hyperlink ref="H662" r:id="rId661" location="concept/details/3vHLjIoT0Hsm00051Mm008" display="http://bsdd.buildingsmart.org/ - concept/details/3vHLjIoT0Hsm00051Mm008"/>
    <hyperlink ref="H663" r:id="rId662" location="concept/details/03uCcAIen7FBhd0kRiSGMf" display="http://bsdd.buildingsmart.org/ - concept/details/03uCcAIen7FBhd0kRiSGMf"/>
    <hyperlink ref="H664" r:id="rId663" location="concept/details/1h1NDFmsXBUADz28j2Z9Cj" display="http://bsdd.buildingsmart.org/ - concept/details/1h1NDFmsXBUADz28j2Z9Cj"/>
    <hyperlink ref="H665" r:id="rId664" location="concept/details/3D4t8BcXfA9Qym3cev3nMe" display="http://bsdd.buildingsmart.org/ - concept/details/3D4t8BcXfA9Qym3cev3nMe"/>
    <hyperlink ref="H666" r:id="rId665" location="concept/details/13WT394o9DxOAWHgeE70rp" display="http://bsdd.buildingsmart.org/ - concept/details/13WT394o9DxOAWHgeE70rp"/>
    <hyperlink ref="H667" r:id="rId666" location="concept/details/3gxLz3TwrCGwfCxZuRrEVY" display="http://bsdd.buildingsmart.org/ - concept/details/3gxLz3TwrCGwfCxZuRrEVY"/>
    <hyperlink ref="H668" r:id="rId667" location="concept/details/3FiqyICHP9$9IGT7bw1XJF" display="http://bsdd.buildingsmart.org/ - concept/details/3FiqyICHP9$9IGT7bw1XJF"/>
    <hyperlink ref="H669" r:id="rId668" location="concept/details/2K0NNdRk97Q9hktGuoxt8p" display="http://bsdd.buildingsmart.org/ - concept/details/2K0NNdRk97Q9hktGuoxt8p"/>
    <hyperlink ref="H670" r:id="rId669" location="concept/details/3NNQRKTtb60QxEfNIN2Idb" display="http://bsdd.buildingsmart.org/ - concept/details/3NNQRKTtb60QxEfNIN2Idb"/>
    <hyperlink ref="H671" r:id="rId670" location="concept/details/3YmHtCLknBvBJYG3Kaf4nL" display="http://bsdd.buildingsmart.org/ - concept/details/3YmHtCLknBvBJYG3Kaf4nL"/>
    <hyperlink ref="H672" r:id="rId671" location="concept/details/3R2AS0fTvF_xhhlhE4fEHB" display="http://bsdd.buildingsmart.org/ - concept/details/3R2AS0fTvF_xhhlhE4fEHB"/>
    <hyperlink ref="H673" r:id="rId672" location="concept/details/1d4JHr4Yr5mfkVMaoQvHNH" display="http://bsdd.buildingsmart.org/ - concept/details/1d4JHr4Yr5mfkVMaoQvHNH"/>
    <hyperlink ref="H674" r:id="rId673" location="concept/details/1MpUBW8WT0jQOWeI_Xqz1b" display="http://bsdd.buildingsmart.org/ - concept/details/1MpUBW8WT0jQOWeI_Xqz1b"/>
    <hyperlink ref="H675" r:id="rId674" location="concept/details/007$uM9ZT4IBUj$PXeD$Bz" display="http://bsdd.buildingsmart.org/ - concept/details/007$uM9ZT4IBUj$PXeD$Bz"/>
    <hyperlink ref="H676" r:id="rId675" location="concept/details/0e9kVRwUnFJPocdBOiQ3MK" display="http://bsdd.buildingsmart.org/ - concept/details/0e9kVRwUnFJPocdBOiQ3MK"/>
    <hyperlink ref="H677" r:id="rId676" location="concept/details/3vHW2soT0Hsm00051Mm008" display="http://bsdd.buildingsmart.org/ - concept/details/3vHW2soT0Hsm00051Mm008"/>
    <hyperlink ref="H678" r:id="rId677" location="concept/details/3Y3gOkbIP6xQen11m7yLts" display="http://bsdd.buildingsmart.org/ - concept/details/3Y3gOkbIP6xQen11m7yLts"/>
    <hyperlink ref="H679" r:id="rId678" location="concept/details/3vHTXcoT0Hsm00051Mm008" display="http://bsdd.buildingsmart.org/ - concept/details/3vHTXcoT0Hsm00051Mm008"/>
    <hyperlink ref="H680" r:id="rId679" location="concept/details/2lgqohOiD36uoei8sYLtU7" display="http://bsdd.buildingsmart.org/ - concept/details/2lgqohOiD36uoei8sYLtU7"/>
    <hyperlink ref="H681" r:id="rId680" location="concept/details/1WOuxeq4z7PATmXTqh_rJL" display="http://bsdd.buildingsmart.org/ - concept/details/1WOuxeq4z7PATmXTqh_rJL"/>
    <hyperlink ref="H682" r:id="rId681" location="concept/details/1lPK44y0567vCRQKHKMWXk" display="http://bsdd.buildingsmart.org/ - concept/details/1lPK44y0567vCRQKHKMWXk"/>
    <hyperlink ref="H683" r:id="rId682" location="concept/details/05pA4Vkvv8sOL3GxBKYzvf" display="http://bsdd.buildingsmart.org/ - concept/details/05pA4Vkvv8sOL3GxBKYzvf"/>
    <hyperlink ref="H684" r:id="rId683" location="concept/details/3vHJgMoT0Hsm00051Mm008" display="http://bsdd.buildingsmart.org/ - concept/details/3vHJgMoT0Hsm00051Mm008"/>
    <hyperlink ref="H685" r:id="rId684" location="concept/details/17z2WmNRvBshyJrqgI_Q6n" display="http://bsdd.buildingsmart.org/ - concept/details/17z2WmNRvBshyJrqgI_Q6n"/>
    <hyperlink ref="H686" r:id="rId685" location="concept/details/2ySLAyeAf0TuWvKVlo9SJX" display="http://bsdd.buildingsmart.org/ - concept/details/2ySLAyeAf0TuWvKVlo9SJX"/>
    <hyperlink ref="H687" r:id="rId686" location="concept/details/2Ey6$PHjf1ePQEOrcGf03x" display="http://bsdd.buildingsmart.org/ - concept/details/2Ey6$PHjf1ePQEOrcGf03x"/>
    <hyperlink ref="H688" r:id="rId687" location="concept/details/2ev3mPxtL6PvLctYe9tYky" display="http://bsdd.buildingsmart.org/ - concept/details/2ev3mPxtL6PvLctYe9tYky"/>
    <hyperlink ref="H689" r:id="rId688" location="concept/details/2GZ4CQ33P8ZQJ_bqx7pGXX" display="http://bsdd.buildingsmart.org/ - concept/details/2GZ4CQ33P8ZQJ_bqx7pGXX"/>
    <hyperlink ref="H690" r:id="rId689" location="concept/details/1LzLWaCqrCwx8qCdQ10J35" display="http://bsdd.buildingsmart.org/ - concept/details/1LzLWaCqrCwx8qCdQ10J35"/>
    <hyperlink ref="H691" r:id="rId690" location="concept/details/0C7rZ9s69D4PMI8A3yNhbg" display="http://bsdd.buildingsmart.org/ - concept/details/0C7rZ9s69D4PMI8A3yNhbg"/>
    <hyperlink ref="H692" r:id="rId691" location="concept/details/3S86AwDgz3xwYPjXwAontp" display="http://bsdd.buildingsmart.org/ - concept/details/3S86AwDgz3xwYPjXwAontp"/>
    <hyperlink ref="H693" r:id="rId692" location="concept/details/2QVV2A1c50OA7Nqzb0zZwV" display="http://bsdd.buildingsmart.org/ - concept/details/2QVV2A1c50OA7Nqzb0zZwV"/>
    <hyperlink ref="H694" r:id="rId693" location="concept/details/2J2xRxioTFJRlBZ5GWMxp1" display="http://bsdd.buildingsmart.org/ - concept/details/2J2xRxioTFJRlBZ5GWMxp1"/>
    <hyperlink ref="H695" r:id="rId694" location="concept/details/0bI8KYlbnEs9Vfal4kCned" display="http://bsdd.buildingsmart.org/ - concept/details/0bI8KYlbnEs9Vfal4kCned"/>
    <hyperlink ref="H696" r:id="rId695" location="concept/details/1OnuFUtVT6u9O7v1VU0sU8" display="http://bsdd.buildingsmart.org/ - concept/details/1OnuFUtVT6u9O7v1VU0sU8"/>
    <hyperlink ref="H697" r:id="rId696" location="concept/details/1zPt5t9Iv1Jgm3ekolX_Ny" display="http://bsdd.buildingsmart.org/ - concept/details/1zPt5t9Iv1Jgm3ekolX_Ny"/>
    <hyperlink ref="H698" r:id="rId697" location="concept/details/1hyyDjxHT8TO8rDIdcSnWy" display="http://bsdd.buildingsmart.org/ - concept/details/1hyyDjxHT8TO8rDIdcSnWy"/>
    <hyperlink ref="H699" r:id="rId698" location="concept/details/3SMo2vb2zBUur8sXMi7Qrb" display="http://bsdd.buildingsmart.org/ - concept/details/3SMo2vb2zBUur8sXMi7Qrb"/>
    <hyperlink ref="H700" r:id="rId699" location="concept/details/0Kf1C_lqrFv9OwBch7wgQH" display="http://bsdd.buildingsmart.org/ - concept/details/0Kf1C_lqrFv9OwBch7wgQH"/>
    <hyperlink ref="H701" r:id="rId700" location="concept/details/07tGsuOdj2nB99j5h0rXXd" display="http://bsdd.buildingsmart.org/ - concept/details/07tGsuOdj2nB99j5h0rXXd"/>
    <hyperlink ref="H702" r:id="rId701" location="concept/details/0SicBLVsH4wAQPUHQURu4t" display="http://bsdd.buildingsmart.org/ - concept/details/0SicBLVsH4wAQPUHQURu4t"/>
    <hyperlink ref="H703" r:id="rId702" location="concept/details/0mX6ejfqn1G8zAXDOmMgNX" display="http://bsdd.buildingsmart.org/ - concept/details/0mX6ejfqn1G8zAXDOmMgNX"/>
    <hyperlink ref="H704" r:id="rId703" location="concept/details/3b$$uP2yz0FQA5dYSoqWbh" display="http://bsdd.buildingsmart.org/ - concept/details/3b$$uP2yz0FQA5dYSoqWbh"/>
    <hyperlink ref="H705" r:id="rId704" location="concept/details/0HNVsiQEPDZhClz7UTbt9M" display="http://bsdd.buildingsmart.org/ - concept/details/0HNVsiQEPDZhClz7UTbt9M"/>
    <hyperlink ref="H706" r:id="rId705" location="concept/details/2a7bOG5XT5auVQBIoPaQCc" display="http://bsdd.buildingsmart.org/ - concept/details/2a7bOG5XT5auVQBIoPaQCc"/>
    <hyperlink ref="H707" r:id="rId706" location="concept/details/1cmu$ZDDv8Le$31VbQVHvt" display="http://bsdd.buildingsmart.org/ - concept/details/1cmu$ZDDv8Le$31VbQVHvt"/>
    <hyperlink ref="H708" r:id="rId707" location="concept/details/3QnoicYaLFbRRwE368CRqJ" display="http://bsdd.buildingsmart.org/ - concept/details/3QnoicYaLFbRRwE368CRqJ"/>
    <hyperlink ref="H709" r:id="rId708" location="concept/details/30u9KRgk12aeJT6TCK7C04" display="http://bsdd.buildingsmart.org/ - concept/details/30u9KRgk12aeJT6TCK7C04"/>
    <hyperlink ref="H710" r:id="rId709" location="concept/details/28eK$GHjbBqwKi0iJczU1k" display="http://bsdd.buildingsmart.org/ - concept/details/28eK$GHjbBqwKi0iJczU1k"/>
    <hyperlink ref="H711" r:id="rId710" location="concept/details/2Oex0AWJmHu000025QrE$V" display="http://bsdd.buildingsmart.org/ - concept/details/2Oex0AWJmHu000025QrE$V"/>
    <hyperlink ref="H712" r:id="rId711" location="concept/details/15qmgAnkrBhv4CI3Oznm_S" display="http://bsdd.buildingsmart.org/ - concept/details/15qmgAnkrBhv4CI3Oznm_S"/>
    <hyperlink ref="H713" r:id="rId712" location="concept/details/3vHR$ooT0Hsm00051Mm008" display="http://bsdd.buildingsmart.org/ - concept/details/3vHR$ooT0Hsm00051Mm008"/>
    <hyperlink ref="H714" r:id="rId713" location="concept/details/2L42aAWJmHu000025QrE$V" display="http://bsdd.buildingsmart.org/ - concept/details/2L42aAWJmHu000025QrE$V"/>
    <hyperlink ref="H715" r:id="rId714" location="concept/details/2SDL8piSz5meNwPdaqvcYv" display="http://bsdd.buildingsmart.org/ - concept/details/2SDL8piSz5meNwPdaqvcYv"/>
    <hyperlink ref="H716" r:id="rId715" location="concept/details/30gbyVtdT6sAP0Pac0zDWX" display="http://bsdd.buildingsmart.org/ - concept/details/30gbyVtdT6sAP0Pac0zDWX"/>
    <hyperlink ref="H717" r:id="rId716" location="concept/details/2ISQrOG_T4p8PNhReNeqll" display="http://bsdd.buildingsmart.org/ - concept/details/2ISQrOG_T4p8PNhReNeqll"/>
    <hyperlink ref="H718" r:id="rId717" location="concept/details/0e4Q44xifDMAS6xcPXuxB$" display="http://bsdd.buildingsmart.org/ - concept/details/0e4Q44xifDMAS6xcPXuxB$"/>
    <hyperlink ref="H719" r:id="rId718" location="concept/details/2DpVIW5unEsOfBEfvUj4P6" display="http://bsdd.buildingsmart.org/ - concept/details/2DpVIW5unEsOfBEfvUj4P6"/>
    <hyperlink ref="H720" r:id="rId719" location="concept/details/1JG$Y0Jcb5MeBZpFUhcAEd" display="http://bsdd.buildingsmart.org/ - concept/details/1JG$Y0Jcb5MeBZpFUhcAEd"/>
    <hyperlink ref="H721" r:id="rId720" location="concept/details/2AnVw5H5f4ER7dQfC$uIGW" display="http://bsdd.buildingsmart.org/ - concept/details/2AnVw5H5f4ER7dQfC$uIGW"/>
    <hyperlink ref="H722" r:id="rId721" location="concept/details/0OEjVIA2DEQ92D_Lg2BUe7" display="http://bsdd.buildingsmart.org/ - concept/details/0OEjVIA2DEQ92D_Lg2BUe7"/>
    <hyperlink ref="H723" r:id="rId722" location="concept/details/3$pQuEyAr3Fh8kjXbNVRcS" display="http://bsdd.buildingsmart.org/ - concept/details/3$pQuEyAr3Fh8kjXbNVRcS"/>
    <hyperlink ref="H724" r:id="rId723" location="concept/details/33VRDpkp5F3enGfQih$rYJ" display="http://bsdd.buildingsmart.org/ - concept/details/33VRDpkp5F3enGfQih$rYJ"/>
    <hyperlink ref="H725" r:id="rId724" location="concept/details/1vEphZhb12CBpZCf5g5F9F" display="http://bsdd.buildingsmart.org/ - concept/details/1vEphZhb12CBpZCf5g5F9F"/>
    <hyperlink ref="H726" r:id="rId725" location="concept/details/1hjURdHEP4PPItgiBJ_q_4" display="http://bsdd.buildingsmart.org/ - concept/details/1hjURdHEP4PPItgiBJ_q_4"/>
    <hyperlink ref="H727" r:id="rId726" location="concept/details/0psPDNEpDFXgHCb$qhjl9b" display="http://bsdd.buildingsmart.org/ - concept/details/0psPDNEpDFXgHCb$qhjl9b"/>
    <hyperlink ref="H728" r:id="rId727" location="concept/details/3VLOD72fL6S8gzc_WHzPpW" display="http://bsdd.buildingsmart.org/ - concept/details/3VLOD72fL6S8gzc_WHzPpW"/>
    <hyperlink ref="H729" r:id="rId728" location="concept/details/20sQCl72989gPxb1pjXos6" display="http://bsdd.buildingsmart.org/ - concept/details/20sQCl72989gPxb1pjXos6"/>
    <hyperlink ref="H730" r:id="rId729" location="concept/details/1VaE30DIj5SRPHISOp53FI" display="http://bsdd.buildingsmart.org/ - concept/details/1VaE30DIj5SRPHISOp53FI"/>
    <hyperlink ref="H731" r:id="rId730" location="concept/details/1GMdmxvbHCr8xJ_SHNEze$" display="http://bsdd.buildingsmart.org/ - concept/details/1GMdmxvbHCr8xJ_SHNEze$"/>
    <hyperlink ref="H732" r:id="rId731" location="concept/details/0Mdb_77tH33wUnLSsafw0j" display="http://bsdd.buildingsmart.org/ - concept/details/0Mdb_77tH33wUnLSsafw0j"/>
    <hyperlink ref="H733" r:id="rId732" location="concept/details/19cfZQZBfBlvI1uopLb4$W" display="http://bsdd.buildingsmart.org/ - concept/details/19cfZQZBfBlvI1uopLb4$W"/>
    <hyperlink ref="H734" r:id="rId733" location="concept/details/3bBiul88r27AMSmXNVOmfI" display="http://bsdd.buildingsmart.org/ - concept/details/3bBiul88r27AMSmXNVOmfI"/>
    <hyperlink ref="H735" r:id="rId734" location="concept/details/01Y2cAWJSHu000025QrE$V" display="http://bsdd.buildingsmart.org/ - concept/details/01Y2cAWJSHu000025QrE$V"/>
    <hyperlink ref="H736" r:id="rId735" location="concept/details/3uZsEHc5nAPxCapRBAly6B" display="http://bsdd.buildingsmart.org/ - concept/details/3uZsEHc5nAPxCapRBAly6B"/>
    <hyperlink ref="H737" r:id="rId736" location="concept/details/3vHK8_oT0Hsm00051Mm008" display="http://bsdd.buildingsmart.org/ - concept/details/3vHK8_oT0Hsm00051Mm008"/>
    <hyperlink ref="H738" r:id="rId737" location="concept/details/3gRyGJuov1avcgZ1NacoDp" display="http://bsdd.buildingsmart.org/ - concept/details/3gRyGJuov1avcgZ1NacoDp"/>
    <hyperlink ref="H739" r:id="rId738" location="concept/details/00Xw1OvYj8FOM2aW67fADi" display="http://bsdd.buildingsmart.org/ - concept/details/00Xw1OvYj8FOM2aW67fADi"/>
    <hyperlink ref="H740" r:id="rId739" location="concept/details/3n2TOF6pfC2hO8vhlkx_ES" display="http://bsdd.buildingsmart.org/ - concept/details/3n2TOF6pfC2hO8vhlkx_ES"/>
    <hyperlink ref="H741" r:id="rId740" location="concept/details/3NuW_yxY5B4evFIQCNnwKj" display="http://bsdd.buildingsmart.org/ - concept/details/3NuW_yxY5B4evFIQCNnwKj"/>
    <hyperlink ref="H742" r:id="rId741" location="concept/details/3vHQRyoT0Hsm00051Mm008" display="http://bsdd.buildingsmart.org/ - concept/details/3vHQRyoT0Hsm00051Mm008"/>
    <hyperlink ref="H743" r:id="rId742" location="concept/details/25CxJbT5X7WgYmMlQAMtdY" display="http://bsdd.buildingsmart.org/ - concept/details/25CxJbT5X7WgYmMlQAMtdY"/>
    <hyperlink ref="H744" r:id="rId743" location="concept/details/1ZX7wgIK11iOexPGWTYuXH" display="http://bsdd.buildingsmart.org/ - concept/details/1ZX7wgIK11iOexPGWTYuXH"/>
    <hyperlink ref="H745" r:id="rId744" location="concept/details/1z9Wz2lzPDAvONwQwCcpVp" display="http://bsdd.buildingsmart.org/ - concept/details/1z9Wz2lzPDAvONwQwCcpVp"/>
    <hyperlink ref="H746" r:id="rId745" location="concept/details/3vHUueoT0Hsm00051Mm008" display="http://bsdd.buildingsmart.org/ - concept/details/3vHUueoT0Hsm00051Mm008"/>
    <hyperlink ref="H747" r:id="rId746" location="concept/details/3vHXe6oT0Hsm00051Mm008" display="http://bsdd.buildingsmart.org/ - concept/details/3vHXe6oT0Hsm00051Mm008"/>
    <hyperlink ref="H748" r:id="rId747" location="concept/details/0r$VyLi7L1fhCslLou2NA9" display="http://bsdd.buildingsmart.org/ - concept/details/0r$VyLi7L1fhCslLou2NA9"/>
    <hyperlink ref="H749" r:id="rId748" location="concept/details/1xDA9cZ7v5FeiGyEcmENke" display="http://bsdd.buildingsmart.org/ - concept/details/1xDA9cZ7v5FeiGyEcmENke"/>
    <hyperlink ref="H750" r:id="rId749" location="concept/details/3V1qH9GtH3TRmuA2uz_u82" display="http://bsdd.buildingsmart.org/ - concept/details/3V1qH9GtH3TRmuA2uz_u82"/>
    <hyperlink ref="H751" r:id="rId750" location="concept/details/0wCn8w8NX2QBHfBCHpjX6q" display="http://bsdd.buildingsmart.org/ - concept/details/0wCn8w8NX2QBHfBCHpjX6q"/>
    <hyperlink ref="H752" r:id="rId751" location="concept/details/00fu_nzd10vgHBf4IIvUni" display="http://bsdd.buildingsmart.org/ - concept/details/00fu_nzd10vgHBf4IIvUni"/>
    <hyperlink ref="H753" r:id="rId752" location="concept/details/3ecZLycnbDuuidOACgRrty" display="http://bsdd.buildingsmart.org/ - concept/details/3ecZLycnbDuuidOACgRrty"/>
    <hyperlink ref="H754" r:id="rId753" location="concept/details/2ONisKKB5FxfHIa0V9tfAS" display="http://bsdd.buildingsmart.org/ - concept/details/2ONisKKB5FxfHIa0V9tfAS"/>
    <hyperlink ref="H755" r:id="rId754" location="concept/details/3p7cYDLOL82OAOkUtDBkKJ" display="http://bsdd.buildingsmart.org/ - concept/details/3p7cYDLOL82OAOkUtDBkKJ"/>
    <hyperlink ref="H756" r:id="rId755" location="concept/details/0UFjRETdD4veqL_e9Hs4We" display="http://bsdd.buildingsmart.org/ - concept/details/0UFjRETdD4veqL_e9Hs4We"/>
    <hyperlink ref="H757" r:id="rId756" location="concept/details/1iB1ubARzFgQREx2gwesyO" display="http://bsdd.buildingsmart.org/ - concept/details/1iB1ubARzFgQREx2gwesyO"/>
    <hyperlink ref="H758" r:id="rId757" location="concept/details/0jS7ne4gT82vuTRmW0Xlxj" display="http://bsdd.buildingsmart.org/ - concept/details/0jS7ne4gT82vuTRmW0Xlxj"/>
    <hyperlink ref="H759" r:id="rId758" location="concept/details/2hYip8TKf7vvNDRCUcTRMR" display="http://bsdd.buildingsmart.org/ - concept/details/2hYip8TKf7vvNDRCUcTRMR"/>
    <hyperlink ref="H760" r:id="rId759" location="concept/details/0K4wShpRP90PNnibbKJtVe" display="http://bsdd.buildingsmart.org/ - concept/details/0K4wShpRP90PNnibbKJtVe"/>
    <hyperlink ref="H761" r:id="rId760" location="concept/details/14mBUWT8v6hgd1$5KqDNxJ" display="http://bsdd.buildingsmart.org/ - concept/details/14mBUWT8v6hgd1$5KqDNxJ"/>
    <hyperlink ref="H762" r:id="rId761" location="concept/details/1cPM0ggBbB5fFYLNPVmSGk" display="http://bsdd.buildingsmart.org/ - concept/details/1cPM0ggBbB5fFYLNPVmSGk"/>
    <hyperlink ref="H763" r:id="rId762" location="concept/details/3vHamQoT0Hsm00051Mm008" display="http://bsdd.buildingsmart.org/ - concept/details/3vHamQoT0Hsm00051Mm008"/>
    <hyperlink ref="H764" r:id="rId763" location="concept/details/1icOtuC5P88xUiycDL1Hfg" display="http://bsdd.buildingsmart.org/ - concept/details/1icOtuC5P88xUiycDL1Hfg"/>
    <hyperlink ref="H765" r:id="rId764" location="concept/details/2qGmZsrRPCrx9a7CJ5HWb$" display="http://bsdd.buildingsmart.org/ - concept/details/2qGmZsrRPCrx9a7CJ5HWb$"/>
    <hyperlink ref="H766" r:id="rId765" location="concept/details/0dV54k5rXF_gD6z7dxuQ5W" display="http://bsdd.buildingsmart.org/ - concept/details/0dV54k5rXF_gD6z7dxuQ5W"/>
    <hyperlink ref="H767" r:id="rId766" location="concept/details/3xDRr0tw9EBPJqTYNyjhsR" display="http://bsdd.buildingsmart.org/ - concept/details/3xDRr0tw9EBPJqTYNyjhsR"/>
    <hyperlink ref="H768" r:id="rId767" location="concept/details/3roPt8gKvAbAhTZSTS_yp4" display="http://bsdd.buildingsmart.org/ - concept/details/3roPt8gKvAbAhTZSTS_yp4"/>
    <hyperlink ref="H769" r:id="rId768" location="concept/details/149FxuatzDrPXARJ5rfulR" display="http://bsdd.buildingsmart.org/ - concept/details/149FxuatzDrPXARJ5rfulR"/>
    <hyperlink ref="H770" r:id="rId769" location="concept/details/3qXoOtKIDE1wWVumsc61nE" display="http://bsdd.buildingsmart.org/ - concept/details/3qXoOtKIDE1wWVumsc61nE"/>
    <hyperlink ref="H771" r:id="rId770" location="concept/details/3EL$S0qFT3RAJPk_5K2mrs" display="http://bsdd.buildingsmart.org/ - concept/details/3EL$S0qFT3RAJPk_5K2mrs"/>
    <hyperlink ref="H772" r:id="rId771" location="concept/details/0Y_0Qp0YvA1hpjLZA5VBpP" display="http://bsdd.buildingsmart.org/ - concept/details/0Y_0Qp0YvA1hpjLZA5VBpP"/>
    <hyperlink ref="H773" r:id="rId772" location="concept/details/2BDy$EQKnD3eGwo8kjqI9x" display="http://bsdd.buildingsmart.org/ - concept/details/2BDy$EQKnD3eGwo8kjqI9x"/>
    <hyperlink ref="H774" r:id="rId773" location="concept/details/2Rg3WvB6fErPI_vVicsfn_" display="http://bsdd.buildingsmart.org/ - concept/details/2Rg3WvB6fErPI_vVicsfn_"/>
    <hyperlink ref="H775" r:id="rId774" location="concept/details/2ETBuFUG1E792cAK4fqB2f" display="http://bsdd.buildingsmart.org/ - concept/details/2ETBuFUG1E792cAK4fqB2f"/>
    <hyperlink ref="H776" r:id="rId775" location="concept/details/00TOOdhpz8eu0XTotqVXCk" display="http://bsdd.buildingsmart.org/ - concept/details/00TOOdhpz8eu0XTotqVXCk"/>
    <hyperlink ref="H777" r:id="rId776" location="concept/details/1xmkdtqwLBUhyRliRGgw4m" display="http://bsdd.buildingsmart.org/ - concept/details/1xmkdtqwLBUhyRliRGgw4m"/>
    <hyperlink ref="H778" r:id="rId777" location="concept/details/3p9AibDEv4PPz3zZGsQj8U" display="http://bsdd.buildingsmart.org/ - concept/details/3p9AibDEv4PPz3zZGsQj8U"/>
    <hyperlink ref="H779" r:id="rId778" location="concept/details/3niwAdMLbCOgZRxLUS6ENM" display="http://bsdd.buildingsmart.org/ - concept/details/3niwAdMLbCOgZRxLUS6ENM"/>
    <hyperlink ref="H196" r:id="rId779" location="concept/details/3vHYAKoT0Hsm00051Mm008" display="http://bsdd.buildingsmart.org/ - concept/details/3vHYAKoT0Hsm00051Mm008"/>
    <hyperlink ref="H780" r:id="rId780" location="concept/details/392PqaqqH20hS83QPvesC_" display="http://bsdd.buildingsmart.org/ - concept/details/392PqaqqH20hS83QPvesC_"/>
    <hyperlink ref="H781" r:id="rId781" location="concept/details/3ECIu23J17zRDV6Gm0y7wO" display="http://bsdd.buildingsmart.org/ - concept/details/3ECIu23J17zRDV6Gm0y7wO"/>
    <hyperlink ref="H782" r:id="rId782" location="concept/details/3zfyE91$rDJPZPvcWTYAn3" display="http://bsdd.buildingsmart.org/ - concept/details/3zfyE91$rDJPZPvcWTYAn3"/>
    <hyperlink ref="H783" r:id="rId783" location="concept/details/3dFSTIF$X9dv6LRaX4gZ05" display="http://bsdd.buildingsmart.org/ - concept/details/3dFSTIF$X9dv6LRaX4gZ05"/>
    <hyperlink ref="H784" r:id="rId784" location="concept/details/3DteZXWU10CBgvp7cCcNHO" display="http://bsdd.buildingsmart.org/ - concept/details/3DteZXWU10CBgvp7cCcNHO"/>
    <hyperlink ref="H785" r:id="rId785" location="concept/details/0J4zqQ1Lf0DesAK_YhwlrJ" display="http://bsdd.buildingsmart.org/ - concept/details/0J4zqQ1Lf0DesAK_YhwlrJ"/>
    <hyperlink ref="H786" r:id="rId786" location="concept/details/3vHX1_oT0Hsm00051Mm008" display="http://bsdd.buildingsmart.org/ - concept/details/3vHX1_oT0Hsm00051Mm008"/>
    <hyperlink ref="H787" r:id="rId787" location="concept/details/3vHZncoT0Hsm00051Mm008" display="http://bsdd.buildingsmart.org/ - concept/details/3vHZncoT0Hsm00051Mm008"/>
    <hyperlink ref="H788" r:id="rId788" location="concept/details/38Jxc0WJOHu000025QrE$V" display="http://bsdd.buildingsmart.org/ - concept/details/38Jxc0WJOHu000025QrE$V"/>
    <hyperlink ref="H789" r:id="rId789" location="concept/details/3WXnhPDIj4UPfaXYiyVhUv" display="http://bsdd.buildingsmart.org/ - concept/details/3WXnhPDIj4UPfaXYiyVhUv"/>
    <hyperlink ref="H790" r:id="rId790" location="concept/details/0eKDYuDl13Yw7fY1LfQhz6" display="http://bsdd.buildingsmart.org/ - concept/details/0eKDYuDl13Yw7fY1LfQhz6"/>
    <hyperlink ref="H791" r:id="rId791" location="concept/details/3vHVckoT0Hsm00051Mm008" display="http://bsdd.buildingsmart.org/ - concept/details/3vHVckoT0Hsm00051Mm008"/>
    <hyperlink ref="H792" r:id="rId792" location="concept/details/2C9tXhH0H9mQlgnlzymNAm" display="http://bsdd.buildingsmart.org/ - concept/details/2C9tXhH0H9mQlgnlzymNAm"/>
    <hyperlink ref="H793" r:id="rId793" location="concept/details/2wyCkTzrT02w5z2Cqu8u8F" display="http://bsdd.buildingsmart.org/ - concept/details/2wyCkTzrT02w5z2Cqu8u8F"/>
    <hyperlink ref="H794" r:id="rId794" location="concept/details/1SLChd_u9EGOQCU6yiSBk5" display="http://bsdd.buildingsmart.org/ - concept/details/1SLChd_u9EGOQCU6yiSBk5"/>
    <hyperlink ref="H795" r:id="rId795" location="concept/details/3l1bGOhlzEgxAPpyyoxWzi" display="http://bsdd.buildingsmart.org/ - concept/details/3l1bGOhlzEgxAPpyyoxWzi"/>
    <hyperlink ref="H796" r:id="rId796" location="concept/details/2lgJGQqhnABPKfLYW77RFH" display="http://bsdd.buildingsmart.org/ - concept/details/2lgJGQqhnABPKfLYW77RFH"/>
    <hyperlink ref="H797" r:id="rId797" location="concept/details/0NGp3VblXDxg9Q0GlbEB9j" display="http://bsdd.buildingsmart.org/ - concept/details/0NGp3VblXDxg9Q0GlbEB9j"/>
    <hyperlink ref="H798" r:id="rId798" location="concept/details/3vHPy4oT0Hsm00051Mm008" display="http://bsdd.buildingsmart.org/ - concept/details/3vHPy4oT0Hsm00051Mm008"/>
    <hyperlink ref="H799" r:id="rId799" location="concept/details/3jPkRxIU57W8oODWFsQ777" display="http://bsdd.buildingsmart.org/ - concept/details/3jPkRxIU57W8oODWFsQ777"/>
    <hyperlink ref="H800" r:id="rId800" location="concept/details/1IT0o0ZK4Ht00000PR1IRl" display="http://bsdd.buildingsmart.org/ - concept/details/1IT0o0ZK4Ht00000PR1IRl"/>
    <hyperlink ref="H801" r:id="rId801" location="concept/details/1H4YqNE$rFXBBmhQjVkmHX" display="http://bsdd.buildingsmart.org/ - concept/details/1H4YqNE$rFXBBmhQjVkmHX"/>
    <hyperlink ref="H802" r:id="rId802" location="concept/details/2Uhu4z5dP4Du6pDWcDjCtx" display="http://bsdd.buildingsmart.org/ - concept/details/2Uhu4z5dP4Du6pDWcDjCtx"/>
    <hyperlink ref="H803" r:id="rId803" location="concept/details/3eVtY0WJOHu000025QrE$V" display="http://bsdd.buildingsmart.org/ - concept/details/3eVtY0WJOHu000025QrE$V"/>
    <hyperlink ref="H804" r:id="rId804" location="concept/details/2n$$xO44jEj9eWm$OYjFPg" display="http://bsdd.buildingsmart.org/ - concept/details/2n$$xO44jEj9eWm$OYjFPg"/>
    <hyperlink ref="H805" r:id="rId805" location="concept/details/1d5hstF15AKRYCWuh8xFFX" display="http://bsdd.buildingsmart.org/ - concept/details/1d5hstF15AKRYCWuh8xFFX"/>
    <hyperlink ref="H806" r:id="rId806" location="concept/details/0zth$AtNv3du_ul4IhJ0WO" display="http://bsdd.buildingsmart.org/ - concept/details/0zth$AtNv3du_ul4IhJ0WO"/>
    <hyperlink ref="H807" r:id="rId807" location="concept/details/0T8PEbH$z3mezdmpMUvMXl" display="http://bsdd.buildingsmart.org/ - concept/details/0T8PEbH$z3mezdmpMUvMXl"/>
    <hyperlink ref="H808" r:id="rId808" location="concept/details/2bXjeJ3Yb7CALKsXwXV5Jn" display="http://bsdd.buildingsmart.org/ - concept/details/2bXjeJ3Yb7CALKsXwXV5Jn"/>
    <hyperlink ref="H809" r:id="rId809" location="concept/details/3jBfvjbKj8cPqpAekLElGB" display="http://bsdd.buildingsmart.org/ - concept/details/3jBfvjbKj8cPqpAekLElGB"/>
    <hyperlink ref="H810" r:id="rId810" location="concept/details/2VUVKAWJCHu000025QrE$V" display="http://bsdd.buildingsmart.org/ - concept/details/2VUVKAWJCHu000025QrE$V"/>
    <hyperlink ref="H811" r:id="rId811" location="concept/details/3vHcokoT0Hsm00051Mm008" display="http://bsdd.buildingsmart.org/ - concept/details/3vHcokoT0Hsm00051Mm008"/>
    <hyperlink ref="H812" r:id="rId812" location="concept/details/3dIHUqN757YR97HLj8ypx8" display="http://bsdd.buildingsmart.org/ - concept/details/3dIHUqN757YR97HLj8ypx8"/>
    <hyperlink ref="H813" r:id="rId813" location="concept/details/0VmnRrh_r2q9JS_BFRK1Ff" display="http://bsdd.buildingsmart.org/ - concept/details/0VmnRrh_r2q9JS_BFRK1Ff"/>
    <hyperlink ref="H814" r:id="rId814" location="concept/details/3vHM9GoT0Hsm00051Mm008" display="http://bsdd.buildingsmart.org/ - concept/details/3vHM9GoT0Hsm00051Mm008"/>
    <hyperlink ref="H815" r:id="rId815" location="concept/details/3$1t6yujf0reRLnp99Qzv3" display="http://bsdd.buildingsmart.org/ - concept/details/3$1t6yujf0reRLnp99Qzv3"/>
    <hyperlink ref="H816" r:id="rId816" location="concept/details/0l1dBWhBHApuzEQT8OWNKX" display="http://bsdd.buildingsmart.org/ - concept/details/0l1dBWhBHApuzEQT8OWNKX"/>
    <hyperlink ref="H817" r:id="rId817" location="concept/details/3vHJ3coT0Hsm00051Mm008" display="http://bsdd.buildingsmart.org/ - concept/details/3vHJ3coT0Hsm00051Mm008"/>
    <hyperlink ref="H818" r:id="rId818" location="concept/details/3bqvNghlXAxxnJ8_Xr5HoX" display="http://bsdd.buildingsmart.org/ - concept/details/3bqvNghlXAxxnJ8_Xr5HoX"/>
    <hyperlink ref="H819" r:id="rId819" location="concept/details/1xMOPs6Zj8yRpzr2Z9bfTz" display="http://bsdd.buildingsmart.org/ - concept/details/1xMOPs6Zj8yRpzr2Z9bfTz"/>
    <hyperlink ref="H820" r:id="rId820" location="concept/details/3vHQHyoT0Hsm00051Mm008" display="http://bsdd.buildingsmart.org/ - concept/details/3vHQHyoT0Hsm00051Mm008"/>
    <hyperlink ref="H821" r:id="rId821" location="concept/details/3vHUC6oT0Hsm00051Mm008" display="http://bsdd.buildingsmart.org/ - concept/details/3vHUC6oT0Hsm00051Mm008"/>
    <hyperlink ref="H822" r:id="rId822" location="concept/details/3vHKN_oT0Hsm00051Mm008" display="http://bsdd.buildingsmart.org/ - concept/details/3vHKN_oT0Hsm00051Mm008"/>
    <hyperlink ref="H823" r:id="rId823" location="concept/details/1AXdnO9Qz01fTx81xYA8en" display="http://bsdd.buildingsmart.org/ - concept/details/1AXdnO9Qz01fTx81xYA8en"/>
    <hyperlink ref="H824" r:id="rId824" location="concept/details/3vHKyEoT0Hsm00051Mm008" display="http://bsdd.buildingsmart.org/ - concept/details/3vHKyEoT0Hsm00051Mm008"/>
    <hyperlink ref="H825" r:id="rId825" location="concept/details/2afnHQE8j8QRdM0rEff0jw" display="http://bsdd.buildingsmart.org/ - concept/details/2afnHQE8j8QRdM0rEff0jw"/>
    <hyperlink ref="H826" r:id="rId826" location="concept/details/33ZWG0WJmHu000025QrE$V" display="http://bsdd.buildingsmart.org/ - concept/details/33ZWG0WJmHu000025QrE$V"/>
    <hyperlink ref="H827" r:id="rId827" location="concept/details/0XIRhJ_gb1fOA1sCSP_Lz3" display="http://bsdd.buildingsmart.org/ - concept/details/0XIRhJ_gb1fOA1sCSP_Lz3"/>
    <hyperlink ref="H828" r:id="rId828" location="concept/details/3vHZlQoT0Hsm00051Mm008" display="http://bsdd.buildingsmart.org/ - concept/details/3vHZlQoT0Hsm00051Mm008"/>
    <hyperlink ref="H829" r:id="rId829" location="concept/details/0jWN_0BRiHtm00025QrE$V" display="http://bsdd.buildingsmart.org/ - concept/details/0jWN_0BRiHtm00025QrE$V"/>
    <hyperlink ref="H830" r:id="rId830" location="concept/details/0rm8MZg$P0ywpSkBGfBY9J" display="http://bsdd.buildingsmart.org/ - concept/details/0rm8MZg$P0ywpSkBGfBY9J"/>
    <hyperlink ref="H831" r:id="rId831" location="concept/details/07RUa52wD4a8tYpdnI3Y$l" display="http://bsdd.buildingsmart.org/ - concept/details/07RUa52wD4a8tYpdnI3Y$l"/>
    <hyperlink ref="H832" r:id="rId832" location="concept/details/3vHRpSoT0Hsm00051Mm008" display="http://bsdd.buildingsmart.org/ - concept/details/3vHRpSoT0Hsm00051Mm008"/>
  </hyperlinks>
  <pageMargins left="0.78740157499999996" right="0.78740157499999996" top="1" bottom="1" header="0.5" footer="0.5"/>
  <pageSetup paperSize="9" orientation="portrait" horizontalDpi="4294967292" verticalDpi="4294967292"/>
  <drawing r:id="rId833"/>
  <legacyDrawing r:id="rId83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workbookViewId="0"/>
  </sheetViews>
  <sheetFormatPr baseColWidth="10" defaultColWidth="17.33203125" defaultRowHeight="15" customHeight="1"/>
  <cols>
    <col min="2" max="2" width="28.109375" customWidth="1"/>
    <col min="4" max="4" width="48.109375" customWidth="1"/>
  </cols>
  <sheetData>
    <row r="1" spans="1:5" ht="15" customHeight="1">
      <c r="A1" s="1" t="s">
        <v>0</v>
      </c>
      <c r="B1" s="1" t="s">
        <v>1</v>
      </c>
      <c r="C1" s="1">
        <v>1</v>
      </c>
      <c r="D1" s="1" t="s">
        <v>2</v>
      </c>
      <c r="E1" s="1" t="s">
        <v>3</v>
      </c>
    </row>
    <row r="2" spans="1:5" ht="15" customHeight="1">
      <c r="A2" s="1" t="s">
        <v>4</v>
      </c>
      <c r="B2" s="1" t="s">
        <v>5</v>
      </c>
      <c r="C2" s="1">
        <v>26</v>
      </c>
      <c r="D2" s="1" t="s">
        <v>6</v>
      </c>
      <c r="E2" s="1" t="s">
        <v>7</v>
      </c>
    </row>
    <row r="3" spans="1:5" ht="15" customHeight="1">
      <c r="A3" s="1" t="s">
        <v>8</v>
      </c>
      <c r="B3" s="1" t="s">
        <v>5</v>
      </c>
      <c r="C3" s="1">
        <v>7</v>
      </c>
      <c r="D3" s="1" t="s">
        <v>9</v>
      </c>
      <c r="E3" s="1" t="s">
        <v>7</v>
      </c>
    </row>
    <row r="4" spans="1:5" ht="15" customHeight="1">
      <c r="A4" s="1" t="s">
        <v>8</v>
      </c>
      <c r="B4" s="1" t="s">
        <v>5</v>
      </c>
      <c r="C4" s="1">
        <v>1</v>
      </c>
      <c r="D4" s="1" t="s">
        <v>10</v>
      </c>
      <c r="E4" s="1" t="s">
        <v>7</v>
      </c>
    </row>
    <row r="5" spans="1:5" ht="15" customHeight="1">
      <c r="A5" s="1" t="s">
        <v>11</v>
      </c>
      <c r="B5" s="1" t="s">
        <v>5</v>
      </c>
      <c r="C5" s="1">
        <v>1</v>
      </c>
      <c r="D5" s="1" t="s">
        <v>12</v>
      </c>
      <c r="E5" s="1" t="s">
        <v>7</v>
      </c>
    </row>
    <row r="6" spans="1:5" ht="15" customHeight="1">
      <c r="A6" s="1" t="s">
        <v>4</v>
      </c>
      <c r="B6" s="1" t="s">
        <v>13</v>
      </c>
      <c r="C6" s="1">
        <v>9</v>
      </c>
      <c r="D6" s="1" t="s">
        <v>14</v>
      </c>
      <c r="E6" s="1" t="s">
        <v>15</v>
      </c>
    </row>
    <row r="7" spans="1:5" ht="15" customHeight="1">
      <c r="A7" s="1" t="s">
        <v>16</v>
      </c>
      <c r="B7" s="1" t="s">
        <v>13</v>
      </c>
      <c r="C7" s="1">
        <v>1</v>
      </c>
      <c r="D7" s="1" t="s">
        <v>17</v>
      </c>
      <c r="E7" s="1" t="s">
        <v>15</v>
      </c>
    </row>
    <row r="8" spans="1:5" ht="15" customHeight="1">
      <c r="A8" s="1" t="s">
        <v>19</v>
      </c>
      <c r="B8" s="1" t="s">
        <v>20</v>
      </c>
      <c r="C8" s="1">
        <v>2</v>
      </c>
      <c r="D8" s="1" t="s">
        <v>21</v>
      </c>
      <c r="E8" s="1" t="s">
        <v>22</v>
      </c>
    </row>
    <row r="9" spans="1:5" ht="15" customHeight="1">
      <c r="A9" s="1" t="s">
        <v>23</v>
      </c>
      <c r="B9" s="1" t="s">
        <v>24</v>
      </c>
      <c r="C9" s="1">
        <v>1</v>
      </c>
      <c r="D9" s="1" t="s">
        <v>25</v>
      </c>
      <c r="E9" s="1" t="s">
        <v>26</v>
      </c>
    </row>
    <row r="10" spans="1:5" ht="15" customHeight="1">
      <c r="A10" s="1" t="s">
        <v>27</v>
      </c>
      <c r="B10" s="1" t="s">
        <v>13</v>
      </c>
      <c r="C10" s="1">
        <v>5</v>
      </c>
      <c r="D10" s="1" t="s">
        <v>28</v>
      </c>
      <c r="E10" s="1" t="s">
        <v>15</v>
      </c>
    </row>
    <row r="11" spans="1:5" ht="15" customHeight="1">
      <c r="A11" s="1" t="s">
        <v>29</v>
      </c>
      <c r="B11" s="1" t="s">
        <v>30</v>
      </c>
      <c r="C11" s="1">
        <v>3</v>
      </c>
      <c r="D11" s="1" t="s">
        <v>31</v>
      </c>
      <c r="E11" s="1" t="s">
        <v>32</v>
      </c>
    </row>
    <row r="12" spans="1:5" ht="15" customHeight="1">
      <c r="A12" s="1" t="s">
        <v>33</v>
      </c>
      <c r="B12" s="1" t="s">
        <v>1</v>
      </c>
      <c r="C12" s="1">
        <v>4</v>
      </c>
      <c r="D12" s="1" t="s">
        <v>34</v>
      </c>
      <c r="E12" s="1" t="s">
        <v>3</v>
      </c>
    </row>
    <row r="13" spans="1:5" ht="15" customHeight="1">
      <c r="A13" s="1" t="s">
        <v>35</v>
      </c>
      <c r="B13" s="1" t="s">
        <v>1</v>
      </c>
      <c r="C13" s="1">
        <v>2</v>
      </c>
      <c r="D13" s="1" t="s">
        <v>36</v>
      </c>
      <c r="E13" s="1" t="s">
        <v>3</v>
      </c>
    </row>
    <row r="14" spans="1:5" ht="15" customHeight="1">
      <c r="A14" s="1" t="s">
        <v>37</v>
      </c>
      <c r="B14" s="1" t="s">
        <v>38</v>
      </c>
      <c r="C14" s="1">
        <v>1</v>
      </c>
      <c r="D14" s="1" t="s">
        <v>39</v>
      </c>
      <c r="E14" s="1" t="s">
        <v>40</v>
      </c>
    </row>
    <row r="15" spans="1:5" ht="15" customHeight="1">
      <c r="A15" s="1" t="s">
        <v>41</v>
      </c>
      <c r="B15" s="1" t="s">
        <v>1</v>
      </c>
      <c r="C15" s="1">
        <v>14</v>
      </c>
      <c r="D15" s="1" t="s">
        <v>42</v>
      </c>
      <c r="E15" s="1" t="s">
        <v>3</v>
      </c>
    </row>
    <row r="16" spans="1:5" ht="15" customHeight="1">
      <c r="A16" s="1" t="s">
        <v>43</v>
      </c>
      <c r="B16" s="1" t="s">
        <v>44</v>
      </c>
      <c r="C16" s="1">
        <v>3</v>
      </c>
      <c r="D16" s="1" t="s">
        <v>45</v>
      </c>
      <c r="E16" s="1" t="s">
        <v>46</v>
      </c>
    </row>
    <row r="17" spans="1:5" ht="15" customHeight="1">
      <c r="A17" s="1" t="s">
        <v>47</v>
      </c>
      <c r="B17" s="1" t="s">
        <v>1</v>
      </c>
      <c r="C17" s="1">
        <v>62</v>
      </c>
      <c r="D17" s="1" t="s">
        <v>48</v>
      </c>
      <c r="E17" s="1" t="s">
        <v>3</v>
      </c>
    </row>
    <row r="18" spans="1:5" ht="15" customHeight="1">
      <c r="A18" s="1" t="s">
        <v>49</v>
      </c>
      <c r="B18" s="1" t="s">
        <v>1</v>
      </c>
      <c r="C18" s="1">
        <v>5</v>
      </c>
      <c r="D18" s="1" t="s">
        <v>50</v>
      </c>
      <c r="E18" s="1" t="s">
        <v>3</v>
      </c>
    </row>
    <row r="19" spans="1:5" ht="15" customHeight="1">
      <c r="A19" s="1" t="s">
        <v>51</v>
      </c>
      <c r="B19" s="1" t="s">
        <v>1</v>
      </c>
      <c r="C19" s="1">
        <v>10</v>
      </c>
      <c r="D19" s="1" t="s">
        <v>52</v>
      </c>
      <c r="E19" s="1" t="s">
        <v>3</v>
      </c>
    </row>
    <row r="20" spans="1:5" ht="15" customHeight="1">
      <c r="A20" s="1" t="s">
        <v>4</v>
      </c>
      <c r="B20" s="1" t="s">
        <v>53</v>
      </c>
      <c r="C20" s="1">
        <v>4</v>
      </c>
      <c r="D20" s="1" t="s">
        <v>54</v>
      </c>
      <c r="E20" s="1" t="s">
        <v>55</v>
      </c>
    </row>
    <row r="21" spans="1:5" ht="15" customHeight="1">
      <c r="A21" s="1" t="s">
        <v>56</v>
      </c>
      <c r="B21" s="1" t="s">
        <v>1</v>
      </c>
      <c r="C21" s="1">
        <v>1</v>
      </c>
      <c r="D21" s="1" t="s">
        <v>57</v>
      </c>
      <c r="E21" s="1" t="s">
        <v>3</v>
      </c>
    </row>
    <row r="22" spans="1:5" ht="15" customHeight="1">
      <c r="A22" s="1" t="s">
        <v>58</v>
      </c>
      <c r="B22" s="1" t="s">
        <v>59</v>
      </c>
      <c r="C22" s="1">
        <v>1</v>
      </c>
      <c r="D22" s="1" t="s">
        <v>60</v>
      </c>
      <c r="E22" s="1" t="s">
        <v>61</v>
      </c>
    </row>
    <row r="23" spans="1:5" ht="15" customHeight="1">
      <c r="A23" s="1" t="s">
        <v>62</v>
      </c>
      <c r="B23" s="1" t="s">
        <v>1</v>
      </c>
      <c r="C23" s="1">
        <v>2</v>
      </c>
      <c r="D23" s="1" t="s">
        <v>63</v>
      </c>
      <c r="E23" s="1" t="s">
        <v>3</v>
      </c>
    </row>
    <row r="24" spans="1:5" ht="15" customHeight="1">
      <c r="A24" s="1" t="s">
        <v>64</v>
      </c>
      <c r="B24" s="1" t="s">
        <v>53</v>
      </c>
      <c r="C24" s="1">
        <v>1</v>
      </c>
      <c r="D24" s="1" t="s">
        <v>65</v>
      </c>
      <c r="E24" s="1" t="s">
        <v>55</v>
      </c>
    </row>
    <row r="25" spans="1:5" ht="15" customHeight="1">
      <c r="A25" s="1" t="s">
        <v>66</v>
      </c>
      <c r="B25" s="1" t="s">
        <v>67</v>
      </c>
      <c r="C25" s="1">
        <v>1</v>
      </c>
      <c r="D25" s="1" t="s">
        <v>68</v>
      </c>
      <c r="E25" s="1" t="s">
        <v>69</v>
      </c>
    </row>
    <row r="26" spans="1:5" ht="15" customHeight="1">
      <c r="A26" s="1" t="s">
        <v>70</v>
      </c>
      <c r="B26" s="1" t="s">
        <v>71</v>
      </c>
      <c r="C26" s="1">
        <v>3</v>
      </c>
      <c r="D26" s="1" t="s">
        <v>72</v>
      </c>
      <c r="E26" s="1" t="s">
        <v>73</v>
      </c>
    </row>
    <row r="27" spans="1:5" ht="15" customHeight="1">
      <c r="A27" s="1" t="s">
        <v>74</v>
      </c>
      <c r="B27" s="1" t="s">
        <v>53</v>
      </c>
      <c r="C27" s="1">
        <v>4</v>
      </c>
      <c r="D27" s="1" t="s">
        <v>75</v>
      </c>
      <c r="E27" s="1" t="s">
        <v>55</v>
      </c>
    </row>
    <row r="28" spans="1:5" ht="15" customHeight="1">
      <c r="A28" s="1" t="s">
        <v>76</v>
      </c>
      <c r="B28" s="1" t="s">
        <v>53</v>
      </c>
      <c r="C28" s="1">
        <v>2</v>
      </c>
      <c r="D28" s="1" t="s">
        <v>77</v>
      </c>
      <c r="E28" s="1" t="s">
        <v>55</v>
      </c>
    </row>
    <row r="29" spans="1:5" ht="15" customHeight="1">
      <c r="A29" s="1" t="s">
        <v>78</v>
      </c>
      <c r="B29" s="1" t="s">
        <v>67</v>
      </c>
      <c r="C29" s="1">
        <v>1</v>
      </c>
      <c r="D29" s="1" t="s">
        <v>79</v>
      </c>
      <c r="E29" s="1" t="s">
        <v>69</v>
      </c>
    </row>
    <row r="30" spans="1:5" ht="15" customHeight="1">
      <c r="A30" s="1" t="s">
        <v>80</v>
      </c>
      <c r="B30" s="1" t="s">
        <v>1</v>
      </c>
      <c r="C30" s="1">
        <v>2</v>
      </c>
      <c r="D30" s="1" t="s">
        <v>81</v>
      </c>
      <c r="E30" s="1" t="s">
        <v>3</v>
      </c>
    </row>
    <row r="31" spans="1:5" ht="15" customHeight="1">
      <c r="A31" s="1" t="s">
        <v>82</v>
      </c>
      <c r="B31" s="1" t="s">
        <v>83</v>
      </c>
      <c r="C31" s="1">
        <v>1</v>
      </c>
      <c r="D31" s="1" t="s">
        <v>84</v>
      </c>
      <c r="E31" s="1" t="s">
        <v>85</v>
      </c>
    </row>
    <row r="32" spans="1:5" ht="15" customHeight="1">
      <c r="A32" s="1" t="s">
        <v>86</v>
      </c>
      <c r="B32" s="1" t="s">
        <v>87</v>
      </c>
      <c r="C32" s="1">
        <v>1</v>
      </c>
      <c r="D32" s="1" t="s">
        <v>88</v>
      </c>
      <c r="E32" s="1" t="s">
        <v>89</v>
      </c>
    </row>
    <row r="33" spans="1:5" ht="15" customHeight="1">
      <c r="A33" s="1" t="s">
        <v>90</v>
      </c>
      <c r="B33" s="1" t="s">
        <v>1</v>
      </c>
      <c r="C33" s="1">
        <v>2</v>
      </c>
      <c r="D33" s="1" t="s">
        <v>91</v>
      </c>
      <c r="E33" s="1" t="s">
        <v>3</v>
      </c>
    </row>
    <row r="34" spans="1:5" ht="15" customHeight="1">
      <c r="A34" s="1" t="s">
        <v>92</v>
      </c>
      <c r="B34" s="1" t="s">
        <v>1</v>
      </c>
      <c r="C34" s="1">
        <v>1</v>
      </c>
      <c r="D34" s="1" t="s">
        <v>93</v>
      </c>
      <c r="E34" s="1" t="s">
        <v>3</v>
      </c>
    </row>
    <row r="35" spans="1:5" ht="15" customHeight="1">
      <c r="A35" s="1" t="s">
        <v>94</v>
      </c>
      <c r="B35" s="1" t="s">
        <v>30</v>
      </c>
      <c r="C35" s="1">
        <v>4</v>
      </c>
      <c r="D35" s="1" t="s">
        <v>95</v>
      </c>
      <c r="E35" s="1" t="s">
        <v>32</v>
      </c>
    </row>
    <row r="36" spans="1:5" ht="15" customHeight="1">
      <c r="A36" s="1" t="s">
        <v>96</v>
      </c>
      <c r="B36" s="1" t="s">
        <v>1</v>
      </c>
      <c r="C36" s="1">
        <v>17</v>
      </c>
      <c r="D36" s="1" t="s">
        <v>98</v>
      </c>
      <c r="E36" s="1" t="s">
        <v>3</v>
      </c>
    </row>
    <row r="37" spans="1:5" ht="15" customHeight="1">
      <c r="A37" s="1" t="s">
        <v>99</v>
      </c>
      <c r="B37" s="1" t="s">
        <v>30</v>
      </c>
      <c r="C37" s="1">
        <v>2</v>
      </c>
      <c r="D37" s="1" t="s">
        <v>100</v>
      </c>
      <c r="E37" s="1" t="s">
        <v>32</v>
      </c>
    </row>
    <row r="38" spans="1:5" ht="15" customHeight="1">
      <c r="A38" s="1" t="s">
        <v>101</v>
      </c>
      <c r="B38" s="1" t="s">
        <v>30</v>
      </c>
      <c r="C38" s="1">
        <v>1</v>
      </c>
      <c r="D38" s="1" t="s">
        <v>102</v>
      </c>
      <c r="E38" s="1" t="s">
        <v>32</v>
      </c>
    </row>
    <row r="39" spans="1:5" ht="15" customHeight="1">
      <c r="A39" s="1" t="s">
        <v>103</v>
      </c>
      <c r="B39" s="1" t="s">
        <v>30</v>
      </c>
      <c r="C39" s="1">
        <v>1</v>
      </c>
      <c r="D39" s="1" t="s">
        <v>104</v>
      </c>
      <c r="E39" s="1" t="s">
        <v>32</v>
      </c>
    </row>
    <row r="40" spans="1:5" ht="15" customHeight="1">
      <c r="A40" s="1" t="s">
        <v>105</v>
      </c>
      <c r="B40" s="1" t="s">
        <v>1</v>
      </c>
      <c r="C40" s="1">
        <v>1</v>
      </c>
      <c r="D40" s="1" t="s">
        <v>106</v>
      </c>
      <c r="E40" s="1" t="s">
        <v>3</v>
      </c>
    </row>
    <row r="41" spans="1:5" ht="15" customHeight="1">
      <c r="A41" s="1" t="s">
        <v>107</v>
      </c>
      <c r="B41" s="1" t="s">
        <v>30</v>
      </c>
      <c r="C41" s="1">
        <v>3</v>
      </c>
      <c r="D41" s="1" t="s">
        <v>108</v>
      </c>
      <c r="E41" s="1" t="s">
        <v>32</v>
      </c>
    </row>
    <row r="42" spans="1:5" ht="15" customHeight="1">
      <c r="A42" s="1" t="s">
        <v>109</v>
      </c>
      <c r="B42" s="1" t="s">
        <v>30</v>
      </c>
      <c r="C42" s="1">
        <v>1</v>
      </c>
      <c r="D42" s="1" t="s">
        <v>110</v>
      </c>
      <c r="E42" s="1" t="s">
        <v>32</v>
      </c>
    </row>
    <row r="43" spans="1:5" ht="15" customHeight="1">
      <c r="A43" s="1" t="s">
        <v>111</v>
      </c>
      <c r="B43" s="1" t="s">
        <v>30</v>
      </c>
      <c r="C43" s="1">
        <v>1</v>
      </c>
      <c r="D43" s="1" t="s">
        <v>112</v>
      </c>
      <c r="E43" s="1" t="s">
        <v>32</v>
      </c>
    </row>
    <row r="44" spans="1:5" ht="15" customHeight="1">
      <c r="A44" s="1" t="s">
        <v>113</v>
      </c>
      <c r="B44" s="1" t="s">
        <v>13</v>
      </c>
      <c r="C44" s="1">
        <v>1</v>
      </c>
      <c r="D44" s="1" t="s">
        <v>114</v>
      </c>
      <c r="E44" s="1" t="s">
        <v>15</v>
      </c>
    </row>
    <row r="45" spans="1:5" ht="15" customHeight="1">
      <c r="A45" s="1" t="s">
        <v>115</v>
      </c>
      <c r="B45" s="1" t="s">
        <v>1</v>
      </c>
      <c r="C45" s="1">
        <v>6</v>
      </c>
      <c r="D45" s="1" t="s">
        <v>116</v>
      </c>
      <c r="E45" s="1" t="s">
        <v>3</v>
      </c>
    </row>
    <row r="46" spans="1:5" ht="15" customHeight="1">
      <c r="A46" s="1" t="s">
        <v>117</v>
      </c>
      <c r="B46" s="1" t="s">
        <v>30</v>
      </c>
      <c r="C46" s="1">
        <v>1</v>
      </c>
      <c r="D46" s="1" t="s">
        <v>118</v>
      </c>
      <c r="E46" s="1" t="s">
        <v>32</v>
      </c>
    </row>
    <row r="47" spans="1:5" ht="15" customHeight="1">
      <c r="A47" s="1" t="s">
        <v>119</v>
      </c>
      <c r="B47" s="1" t="s">
        <v>1</v>
      </c>
      <c r="C47" s="1">
        <v>1</v>
      </c>
      <c r="D47" s="1" t="s">
        <v>120</v>
      </c>
      <c r="E47" s="1" t="s">
        <v>3</v>
      </c>
    </row>
    <row r="48" spans="1:5" ht="15" customHeight="1">
      <c r="A48" s="1" t="s">
        <v>121</v>
      </c>
      <c r="B48" s="1" t="s">
        <v>13</v>
      </c>
      <c r="C48" s="1">
        <v>2</v>
      </c>
      <c r="D48" s="1" t="s">
        <v>122</v>
      </c>
      <c r="E48" s="1" t="s">
        <v>15</v>
      </c>
    </row>
    <row r="49" spans="1:5" ht="15" customHeight="1">
      <c r="A49" s="1" t="s">
        <v>123</v>
      </c>
      <c r="B49" s="1" t="s">
        <v>30</v>
      </c>
      <c r="C49" s="1">
        <v>4</v>
      </c>
      <c r="D49" s="1" t="s">
        <v>124</v>
      </c>
      <c r="E49" s="1" t="s">
        <v>32</v>
      </c>
    </row>
    <row r="50" spans="1:5" ht="15" customHeight="1">
      <c r="A50" s="1" t="s">
        <v>125</v>
      </c>
      <c r="B50" s="1" t="s">
        <v>30</v>
      </c>
      <c r="C50" s="1">
        <v>2</v>
      </c>
      <c r="D50" s="1" t="s">
        <v>126</v>
      </c>
      <c r="E50" s="1" t="s">
        <v>32</v>
      </c>
    </row>
    <row r="51" spans="1:5" ht="15" customHeight="1">
      <c r="A51" s="1" t="s">
        <v>127</v>
      </c>
      <c r="B51" s="1" t="s">
        <v>30</v>
      </c>
      <c r="C51" s="1">
        <v>3</v>
      </c>
      <c r="D51" s="1" t="s">
        <v>128</v>
      </c>
      <c r="E51" s="1" t="s">
        <v>32</v>
      </c>
    </row>
    <row r="52" spans="1:5" ht="15" customHeight="1">
      <c r="A52" s="1" t="s">
        <v>129</v>
      </c>
      <c r="B52" s="1" t="s">
        <v>130</v>
      </c>
      <c r="C52" s="1">
        <v>1</v>
      </c>
      <c r="D52" s="1" t="s">
        <v>131</v>
      </c>
      <c r="E52" s="1" t="s">
        <v>132</v>
      </c>
    </row>
    <row r="53" spans="1:5" ht="15" customHeight="1">
      <c r="A53" s="1" t="s">
        <v>133</v>
      </c>
      <c r="B53" s="1" t="s">
        <v>134</v>
      </c>
      <c r="C53" s="1">
        <v>1</v>
      </c>
      <c r="D53" s="1" t="s">
        <v>135</v>
      </c>
      <c r="E53" s="1" t="s">
        <v>136</v>
      </c>
    </row>
    <row r="54" spans="1:5" ht="15" customHeight="1">
      <c r="A54" s="1" t="s">
        <v>137</v>
      </c>
      <c r="B54" s="1" t="s">
        <v>1</v>
      </c>
      <c r="C54" s="1">
        <v>2</v>
      </c>
      <c r="D54" s="1" t="s">
        <v>138</v>
      </c>
      <c r="E54" s="1" t="s">
        <v>3</v>
      </c>
    </row>
    <row r="55" spans="1:5" ht="15" customHeight="1">
      <c r="A55" s="1" t="s">
        <v>113</v>
      </c>
      <c r="B55" s="1" t="s">
        <v>1</v>
      </c>
      <c r="C55" s="1">
        <v>1</v>
      </c>
      <c r="D55" s="1" t="s">
        <v>139</v>
      </c>
      <c r="E55" s="1" t="s">
        <v>3</v>
      </c>
    </row>
    <row r="56" spans="1:5" ht="15" customHeight="1">
      <c r="A56" s="1" t="s">
        <v>140</v>
      </c>
      <c r="B56" s="1" t="s">
        <v>1</v>
      </c>
      <c r="C56" s="1">
        <v>27</v>
      </c>
      <c r="D56" s="1" t="s">
        <v>141</v>
      </c>
      <c r="E56" s="1" t="s">
        <v>3</v>
      </c>
    </row>
    <row r="57" spans="1:5" ht="15" customHeight="1">
      <c r="A57" s="1" t="s">
        <v>142</v>
      </c>
      <c r="B57" s="1" t="s">
        <v>134</v>
      </c>
      <c r="C57" s="1">
        <v>2</v>
      </c>
      <c r="D57" s="1" t="s">
        <v>143</v>
      </c>
      <c r="E57" s="1" t="s">
        <v>136</v>
      </c>
    </row>
    <row r="58" spans="1:5" ht="15" customHeight="1">
      <c r="A58" s="1" t="s">
        <v>144</v>
      </c>
      <c r="B58" s="1" t="s">
        <v>134</v>
      </c>
      <c r="C58" s="1">
        <v>6</v>
      </c>
      <c r="D58" s="1" t="s">
        <v>145</v>
      </c>
      <c r="E58" s="1" t="s">
        <v>136</v>
      </c>
    </row>
    <row r="59" spans="1:5" ht="15" customHeight="1">
      <c r="A59" s="1" t="s">
        <v>147</v>
      </c>
      <c r="B59" s="1" t="s">
        <v>130</v>
      </c>
      <c r="C59" s="1">
        <v>1</v>
      </c>
      <c r="D59" s="1" t="s">
        <v>148</v>
      </c>
      <c r="E59" s="1" t="s">
        <v>132</v>
      </c>
    </row>
    <row r="60" spans="1:5" ht="15" customHeight="1">
      <c r="A60" s="1" t="s">
        <v>149</v>
      </c>
      <c r="B60" s="1" t="s">
        <v>134</v>
      </c>
      <c r="C60" s="1">
        <v>5</v>
      </c>
      <c r="D60" s="1" t="s">
        <v>150</v>
      </c>
      <c r="E60" s="1" t="s">
        <v>136</v>
      </c>
    </row>
    <row r="61" spans="1:5" ht="15" customHeight="1">
      <c r="A61" s="1" t="s">
        <v>151</v>
      </c>
      <c r="B61" s="1" t="s">
        <v>1</v>
      </c>
      <c r="C61" s="1">
        <v>3</v>
      </c>
      <c r="D61" s="1" t="s">
        <v>152</v>
      </c>
      <c r="E61" s="1" t="s">
        <v>3</v>
      </c>
    </row>
    <row r="62" spans="1:5" ht="15" customHeight="1">
      <c r="A62" s="1" t="s">
        <v>153</v>
      </c>
      <c r="B62" s="1" t="s">
        <v>154</v>
      </c>
      <c r="C62" s="1">
        <v>11</v>
      </c>
      <c r="D62" s="1" t="s">
        <v>155</v>
      </c>
      <c r="E62" s="1" t="s">
        <v>156</v>
      </c>
    </row>
    <row r="63" spans="1:5" ht="15" customHeight="1">
      <c r="A63" s="1" t="s">
        <v>157</v>
      </c>
      <c r="B63" s="1" t="s">
        <v>71</v>
      </c>
      <c r="C63" s="1">
        <v>3</v>
      </c>
      <c r="D63" s="1" t="s">
        <v>158</v>
      </c>
      <c r="E63" s="1" t="s">
        <v>73</v>
      </c>
    </row>
    <row r="64" spans="1:5" ht="15" customHeight="1">
      <c r="A64" s="1" t="s">
        <v>159</v>
      </c>
      <c r="B64" s="1" t="s">
        <v>1</v>
      </c>
      <c r="C64" s="1">
        <v>2</v>
      </c>
      <c r="D64" s="1" t="s">
        <v>160</v>
      </c>
      <c r="E64" s="1" t="s">
        <v>3</v>
      </c>
    </row>
    <row r="65" spans="1:5" ht="15" customHeight="1">
      <c r="A65" s="1" t="s">
        <v>161</v>
      </c>
      <c r="B65" s="1" t="s">
        <v>1</v>
      </c>
      <c r="C65" s="1">
        <v>3</v>
      </c>
      <c r="D65" s="1" t="s">
        <v>162</v>
      </c>
      <c r="E65" s="1" t="s">
        <v>3</v>
      </c>
    </row>
    <row r="66" spans="1:5" ht="15" customHeight="1">
      <c r="A66" s="1" t="s">
        <v>164</v>
      </c>
      <c r="B66" s="1" t="s">
        <v>38</v>
      </c>
      <c r="C66" s="1">
        <v>3</v>
      </c>
      <c r="D66" s="1" t="s">
        <v>166</v>
      </c>
      <c r="E66" s="1" t="s">
        <v>40</v>
      </c>
    </row>
    <row r="67" spans="1:5" ht="15" customHeight="1">
      <c r="A67" s="1" t="s">
        <v>167</v>
      </c>
      <c r="B67" s="1" t="s">
        <v>168</v>
      </c>
      <c r="C67" s="1">
        <v>3</v>
      </c>
      <c r="D67" s="1" t="s">
        <v>169</v>
      </c>
      <c r="E67" s="1" t="s">
        <v>170</v>
      </c>
    </row>
    <row r="68" spans="1:5" ht="15" customHeight="1">
      <c r="A68" s="1" t="s">
        <v>171</v>
      </c>
      <c r="B68" s="1" t="s">
        <v>172</v>
      </c>
      <c r="C68" s="1">
        <v>2</v>
      </c>
      <c r="D68" s="1" t="s">
        <v>173</v>
      </c>
      <c r="E68" s="1" t="s">
        <v>174</v>
      </c>
    </row>
    <row r="69" spans="1:5" ht="15" customHeight="1">
      <c r="A69" s="1" t="s">
        <v>175</v>
      </c>
      <c r="B69" s="1" t="s">
        <v>134</v>
      </c>
      <c r="C69" s="1">
        <v>1</v>
      </c>
      <c r="D69" s="1" t="s">
        <v>176</v>
      </c>
      <c r="E69" s="1" t="s">
        <v>136</v>
      </c>
    </row>
    <row r="70" spans="1:5" ht="15" customHeight="1">
      <c r="A70" s="1" t="s">
        <v>177</v>
      </c>
      <c r="B70" s="1" t="s">
        <v>134</v>
      </c>
      <c r="C70" s="1">
        <v>26</v>
      </c>
      <c r="D70" s="1" t="s">
        <v>178</v>
      </c>
      <c r="E70" s="1" t="s">
        <v>136</v>
      </c>
    </row>
    <row r="71" spans="1:5" ht="15" customHeight="1">
      <c r="A71" s="1" t="s">
        <v>179</v>
      </c>
      <c r="B71" s="1" t="s">
        <v>180</v>
      </c>
      <c r="C71" s="1">
        <v>1</v>
      </c>
      <c r="D71" s="1" t="s">
        <v>181</v>
      </c>
      <c r="E71" s="1" t="s">
        <v>180</v>
      </c>
    </row>
    <row r="72" spans="1:5" ht="15" customHeight="1">
      <c r="A72" s="1" t="s">
        <v>182</v>
      </c>
      <c r="B72" s="1" t="s">
        <v>30</v>
      </c>
      <c r="C72" s="1">
        <v>4</v>
      </c>
      <c r="D72" s="1" t="s">
        <v>183</v>
      </c>
      <c r="E72" s="1" t="s">
        <v>32</v>
      </c>
    </row>
    <row r="73" spans="1:5" ht="15" customHeight="1">
      <c r="A73" s="1" t="s">
        <v>184</v>
      </c>
      <c r="B73" s="1" t="s">
        <v>185</v>
      </c>
      <c r="C73" s="1">
        <v>2</v>
      </c>
      <c r="D73" s="1" t="s">
        <v>186</v>
      </c>
      <c r="E73" s="1" t="s">
        <v>187</v>
      </c>
    </row>
    <row r="74" spans="1:5" ht="15" customHeight="1">
      <c r="A74" s="1" t="s">
        <v>188</v>
      </c>
      <c r="B74" s="1" t="s">
        <v>189</v>
      </c>
      <c r="C74" s="1">
        <v>2</v>
      </c>
      <c r="D74" s="1" t="s">
        <v>190</v>
      </c>
      <c r="E74" s="1" t="s">
        <v>191</v>
      </c>
    </row>
    <row r="75" spans="1:5" ht="15" customHeight="1">
      <c r="A75" s="1" t="s">
        <v>8</v>
      </c>
      <c r="B75" s="1" t="s">
        <v>71</v>
      </c>
      <c r="C75" s="1">
        <v>1</v>
      </c>
      <c r="D75" s="1" t="s">
        <v>192</v>
      </c>
      <c r="E75" s="1" t="s">
        <v>73</v>
      </c>
    </row>
    <row r="76" spans="1:5" ht="15" customHeight="1">
      <c r="A76" s="1" t="s">
        <v>184</v>
      </c>
      <c r="B76" s="1" t="s">
        <v>30</v>
      </c>
      <c r="C76" s="1">
        <v>4</v>
      </c>
      <c r="D76" s="1" t="s">
        <v>194</v>
      </c>
      <c r="E76" s="1" t="s">
        <v>32</v>
      </c>
    </row>
    <row r="77" spans="1:5" ht="15" customHeight="1">
      <c r="A77" s="1" t="s">
        <v>195</v>
      </c>
      <c r="B77" s="1" t="s">
        <v>1</v>
      </c>
      <c r="C77" s="1">
        <v>1</v>
      </c>
      <c r="D77" s="1" t="s">
        <v>196</v>
      </c>
      <c r="E77" s="1" t="s">
        <v>3</v>
      </c>
    </row>
    <row r="78" spans="1:5" ht="15" customHeight="1">
      <c r="A78" s="1" t="s">
        <v>197</v>
      </c>
      <c r="B78" s="1" t="s">
        <v>13</v>
      </c>
      <c r="C78" s="1">
        <v>9</v>
      </c>
      <c r="D78" s="1" t="s">
        <v>198</v>
      </c>
      <c r="E78" s="1" t="s">
        <v>15</v>
      </c>
    </row>
    <row r="79" spans="1:5" ht="15" customHeight="1">
      <c r="A79" s="1" t="s">
        <v>199</v>
      </c>
      <c r="B79" s="1" t="s">
        <v>30</v>
      </c>
      <c r="C79" s="1">
        <v>1</v>
      </c>
      <c r="D79" s="1" t="s">
        <v>200</v>
      </c>
      <c r="E79" s="1" t="s">
        <v>32</v>
      </c>
    </row>
    <row r="80" spans="1:5" ht="15" customHeight="1">
      <c r="A80" s="1" t="s">
        <v>201</v>
      </c>
      <c r="B80" s="1" t="s">
        <v>134</v>
      </c>
      <c r="C80" s="1">
        <v>2</v>
      </c>
      <c r="D80" s="1" t="s">
        <v>202</v>
      </c>
      <c r="E80" s="1" t="s">
        <v>136</v>
      </c>
    </row>
    <row r="81" spans="1:5" ht="15" customHeight="1">
      <c r="A81" s="1" t="s">
        <v>203</v>
      </c>
      <c r="B81" s="1" t="s">
        <v>134</v>
      </c>
      <c r="C81" s="1">
        <v>5</v>
      </c>
      <c r="D81" s="1" t="s">
        <v>204</v>
      </c>
      <c r="E81" s="1" t="s">
        <v>136</v>
      </c>
    </row>
    <row r="82" spans="1:5" ht="15" customHeight="1">
      <c r="A82" s="1" t="s">
        <v>206</v>
      </c>
      <c r="B82" s="1" t="s">
        <v>134</v>
      </c>
      <c r="C82" s="1">
        <v>15</v>
      </c>
      <c r="D82" s="1" t="s">
        <v>209</v>
      </c>
      <c r="E82" s="1" t="s">
        <v>136</v>
      </c>
    </row>
    <row r="83" spans="1:5" ht="15" customHeight="1">
      <c r="A83" s="1" t="s">
        <v>210</v>
      </c>
      <c r="B83" s="1" t="s">
        <v>1</v>
      </c>
      <c r="C83" s="1">
        <v>10</v>
      </c>
      <c r="D83" s="1" t="s">
        <v>211</v>
      </c>
      <c r="E83" s="1" t="s">
        <v>3</v>
      </c>
    </row>
    <row r="84" spans="1:5" ht="15" customHeight="1">
      <c r="A84" s="1" t="s">
        <v>212</v>
      </c>
      <c r="B84" s="1" t="s">
        <v>134</v>
      </c>
      <c r="C84" s="1">
        <v>5</v>
      </c>
      <c r="D84" s="1" t="s">
        <v>213</v>
      </c>
      <c r="E84" s="1" t="s">
        <v>136</v>
      </c>
    </row>
    <row r="85" spans="1:5" ht="15" customHeight="1">
      <c r="A85" s="1" t="s">
        <v>214</v>
      </c>
      <c r="B85" s="1" t="s">
        <v>215</v>
      </c>
      <c r="C85" s="1">
        <v>1</v>
      </c>
      <c r="D85" s="1" t="s">
        <v>216</v>
      </c>
      <c r="E85" s="1" t="s">
        <v>217</v>
      </c>
    </row>
    <row r="86" spans="1:5" ht="15" customHeight="1">
      <c r="A86" s="1" t="s">
        <v>218</v>
      </c>
      <c r="B86" s="1" t="s">
        <v>30</v>
      </c>
      <c r="C86" s="1">
        <v>4</v>
      </c>
      <c r="D86" s="1" t="s">
        <v>219</v>
      </c>
      <c r="E86" s="1" t="s">
        <v>32</v>
      </c>
    </row>
    <row r="87" spans="1:5" ht="15" customHeight="1">
      <c r="A87" s="1" t="s">
        <v>220</v>
      </c>
      <c r="B87" s="1" t="s">
        <v>30</v>
      </c>
      <c r="C87" s="1">
        <v>1</v>
      </c>
      <c r="D87" s="1" t="s">
        <v>224</v>
      </c>
      <c r="E87" s="1" t="s">
        <v>32</v>
      </c>
    </row>
    <row r="88" spans="1:5" ht="15" customHeight="1">
      <c r="A88" s="1" t="s">
        <v>226</v>
      </c>
      <c r="B88" s="1" t="s">
        <v>130</v>
      </c>
      <c r="C88" s="1">
        <v>1</v>
      </c>
      <c r="D88" s="1" t="s">
        <v>228</v>
      </c>
      <c r="E88" s="1" t="s">
        <v>132</v>
      </c>
    </row>
    <row r="89" spans="1:5" ht="15" customHeight="1">
      <c r="A89" s="1" t="s">
        <v>229</v>
      </c>
      <c r="B89" s="1" t="s">
        <v>38</v>
      </c>
      <c r="C89" s="1">
        <v>1</v>
      </c>
      <c r="D89" s="1" t="s">
        <v>230</v>
      </c>
      <c r="E89" s="1" t="s">
        <v>40</v>
      </c>
    </row>
    <row r="90" spans="1:5" ht="15" customHeight="1">
      <c r="A90" s="1" t="s">
        <v>231</v>
      </c>
      <c r="B90" s="1" t="s">
        <v>189</v>
      </c>
      <c r="C90" s="1">
        <v>33</v>
      </c>
      <c r="D90" s="1" t="s">
        <v>232</v>
      </c>
      <c r="E90" s="1" t="s">
        <v>191</v>
      </c>
    </row>
    <row r="91" spans="1:5" ht="15" customHeight="1">
      <c r="A91" s="1" t="s">
        <v>233</v>
      </c>
      <c r="B91" s="1" t="s">
        <v>234</v>
      </c>
      <c r="C91" s="1">
        <v>72</v>
      </c>
      <c r="D91" s="1" t="s">
        <v>235</v>
      </c>
      <c r="E91" s="1" t="s">
        <v>236</v>
      </c>
    </row>
    <row r="92" spans="1:5" ht="15" customHeight="1">
      <c r="A92" s="1" t="s">
        <v>177</v>
      </c>
      <c r="B92" s="1" t="s">
        <v>134</v>
      </c>
      <c r="C92" s="1">
        <v>1</v>
      </c>
      <c r="D92" s="1" t="s">
        <v>237</v>
      </c>
      <c r="E92" s="1" t="s">
        <v>136</v>
      </c>
    </row>
    <row r="93" spans="1:5" ht="15" customHeight="1">
      <c r="A93" s="1" t="s">
        <v>238</v>
      </c>
      <c r="B93" s="1" t="s">
        <v>1</v>
      </c>
      <c r="C93" s="1">
        <v>4</v>
      </c>
      <c r="D93" s="1" t="s">
        <v>239</v>
      </c>
      <c r="E93" s="1" t="s">
        <v>3</v>
      </c>
    </row>
    <row r="94" spans="1:5" ht="15" customHeight="1">
      <c r="A94" s="1" t="s">
        <v>240</v>
      </c>
      <c r="B94" s="1" t="s">
        <v>1</v>
      </c>
      <c r="C94" s="1">
        <v>1</v>
      </c>
      <c r="D94" s="1" t="s">
        <v>241</v>
      </c>
      <c r="E94" s="1" t="s">
        <v>3</v>
      </c>
    </row>
    <row r="95" spans="1:5" ht="15" customHeight="1">
      <c r="A95" s="1" t="s">
        <v>242</v>
      </c>
      <c r="B95" s="1" t="s">
        <v>30</v>
      </c>
      <c r="C95" s="1">
        <v>1</v>
      </c>
      <c r="D95" s="1" t="s">
        <v>243</v>
      </c>
      <c r="E95" s="1" t="s">
        <v>32</v>
      </c>
    </row>
    <row r="96" spans="1:5" ht="15" customHeight="1">
      <c r="A96" s="1" t="s">
        <v>244</v>
      </c>
      <c r="B96" s="1" t="s">
        <v>1</v>
      </c>
      <c r="C96" s="1">
        <v>2</v>
      </c>
      <c r="D96" s="1" t="s">
        <v>245</v>
      </c>
      <c r="E96" s="1" t="s">
        <v>3</v>
      </c>
    </row>
    <row r="97" spans="1:5" ht="15" customHeight="1">
      <c r="A97" s="1" t="s">
        <v>247</v>
      </c>
      <c r="B97" s="1" t="s">
        <v>248</v>
      </c>
      <c r="C97" s="1">
        <v>1</v>
      </c>
      <c r="D97" s="1" t="s">
        <v>249</v>
      </c>
      <c r="E97" s="1" t="s">
        <v>250</v>
      </c>
    </row>
    <row r="98" spans="1:5" ht="15" customHeight="1">
      <c r="A98" s="1" t="s">
        <v>251</v>
      </c>
      <c r="B98" s="1" t="s">
        <v>234</v>
      </c>
      <c r="C98" s="1">
        <v>1</v>
      </c>
      <c r="D98" s="1" t="s">
        <v>252</v>
      </c>
      <c r="E98" s="1" t="s">
        <v>236</v>
      </c>
    </row>
    <row r="99" spans="1:5" ht="15" customHeight="1">
      <c r="A99" s="1" t="s">
        <v>253</v>
      </c>
      <c r="B99" s="1" t="s">
        <v>254</v>
      </c>
      <c r="C99" s="1">
        <v>1</v>
      </c>
      <c r="D99" s="1" t="s">
        <v>255</v>
      </c>
      <c r="E99" s="1" t="s">
        <v>256</v>
      </c>
    </row>
    <row r="100" spans="1:5" ht="15" customHeight="1">
      <c r="A100" s="1" t="s">
        <v>257</v>
      </c>
      <c r="B100" s="1" t="s">
        <v>259</v>
      </c>
      <c r="C100" s="1">
        <v>2</v>
      </c>
      <c r="D100" s="1" t="s">
        <v>262</v>
      </c>
      <c r="E100" s="1" t="s">
        <v>263</v>
      </c>
    </row>
    <row r="101" spans="1:5" ht="15" customHeight="1">
      <c r="A101" s="1" t="s">
        <v>264</v>
      </c>
      <c r="B101" s="1" t="s">
        <v>265</v>
      </c>
      <c r="C101" s="1">
        <v>3</v>
      </c>
      <c r="D101" s="1" t="s">
        <v>266</v>
      </c>
      <c r="E101" s="1" t="s">
        <v>267</v>
      </c>
    </row>
    <row r="102" spans="1:5" ht="15" customHeight="1">
      <c r="A102" s="1" t="s">
        <v>268</v>
      </c>
      <c r="B102" s="1" t="s">
        <v>134</v>
      </c>
      <c r="C102" s="1">
        <v>26</v>
      </c>
      <c r="D102" s="1" t="s">
        <v>269</v>
      </c>
      <c r="E102" s="1" t="s">
        <v>136</v>
      </c>
    </row>
    <row r="103" spans="1:5" ht="15" customHeight="1">
      <c r="A103" s="1" t="s">
        <v>270</v>
      </c>
      <c r="B103" s="1" t="s">
        <v>271</v>
      </c>
      <c r="C103" s="1">
        <v>1</v>
      </c>
      <c r="D103" s="1" t="s">
        <v>273</v>
      </c>
      <c r="E103" s="1" t="s">
        <v>274</v>
      </c>
    </row>
    <row r="104" spans="1:5" ht="15" customHeight="1">
      <c r="A104" s="1" t="s">
        <v>275</v>
      </c>
      <c r="B104" s="1" t="s">
        <v>30</v>
      </c>
      <c r="C104" s="1">
        <v>1</v>
      </c>
      <c r="D104" s="1" t="s">
        <v>276</v>
      </c>
      <c r="E104" s="1" t="s">
        <v>32</v>
      </c>
    </row>
    <row r="105" spans="1:5" ht="15" customHeight="1">
      <c r="A105" s="1" t="s">
        <v>277</v>
      </c>
      <c r="B105" s="1" t="s">
        <v>189</v>
      </c>
      <c r="C105" s="1">
        <v>14</v>
      </c>
      <c r="D105" s="1" t="s">
        <v>278</v>
      </c>
      <c r="E105" s="1" t="s">
        <v>191</v>
      </c>
    </row>
    <row r="106" spans="1:5" ht="15" customHeight="1">
      <c r="A106" s="1" t="s">
        <v>279</v>
      </c>
      <c r="B106" s="1" t="s">
        <v>189</v>
      </c>
      <c r="C106" s="1">
        <v>43</v>
      </c>
      <c r="D106" s="1" t="s">
        <v>280</v>
      </c>
      <c r="E106" s="1" t="s">
        <v>191</v>
      </c>
    </row>
    <row r="107" spans="1:5" ht="15" customHeight="1">
      <c r="A107" s="1" t="s">
        <v>281</v>
      </c>
      <c r="B107" s="1" t="s">
        <v>38</v>
      </c>
      <c r="C107" s="1">
        <v>1</v>
      </c>
      <c r="D107" s="1" t="s">
        <v>282</v>
      </c>
      <c r="E107" s="1" t="s">
        <v>40</v>
      </c>
    </row>
    <row r="108" spans="1:5" ht="15" customHeight="1">
      <c r="A108" s="1" t="s">
        <v>283</v>
      </c>
      <c r="B108" s="1" t="s">
        <v>284</v>
      </c>
      <c r="C108" s="1">
        <v>6</v>
      </c>
      <c r="D108" s="1" t="s">
        <v>285</v>
      </c>
      <c r="E108" s="1" t="s">
        <v>286</v>
      </c>
    </row>
    <row r="109" spans="1:5" ht="15" customHeight="1">
      <c r="A109" s="1" t="s">
        <v>287</v>
      </c>
      <c r="B109" s="1" t="s">
        <v>30</v>
      </c>
      <c r="C109" s="1">
        <v>3</v>
      </c>
      <c r="D109" s="1" t="s">
        <v>288</v>
      </c>
      <c r="E109" s="1" t="s">
        <v>32</v>
      </c>
    </row>
    <row r="110" spans="1:5" ht="15" customHeight="1">
      <c r="A110" s="1" t="s">
        <v>289</v>
      </c>
      <c r="B110" s="1" t="s">
        <v>30</v>
      </c>
      <c r="C110" s="1">
        <v>2</v>
      </c>
      <c r="D110" s="1" t="s">
        <v>290</v>
      </c>
      <c r="E110" s="1" t="s">
        <v>32</v>
      </c>
    </row>
    <row r="111" spans="1:5" ht="15" customHeight="1">
      <c r="A111" s="1" t="s">
        <v>291</v>
      </c>
      <c r="B111" s="1" t="s">
        <v>13</v>
      </c>
      <c r="C111" s="1">
        <v>88</v>
      </c>
      <c r="D111" s="1" t="s">
        <v>292</v>
      </c>
      <c r="E111" s="1" t="s">
        <v>15</v>
      </c>
    </row>
    <row r="112" spans="1:5" ht="15" customHeight="1">
      <c r="A112" s="1" t="s">
        <v>293</v>
      </c>
      <c r="B112" s="1" t="s">
        <v>189</v>
      </c>
      <c r="C112" s="1">
        <v>16</v>
      </c>
      <c r="D112" s="1" t="s">
        <v>294</v>
      </c>
      <c r="E112" s="1" t="s">
        <v>191</v>
      </c>
    </row>
    <row r="113" spans="1:5" ht="15" customHeight="1">
      <c r="A113" s="1" t="s">
        <v>295</v>
      </c>
      <c r="B113" s="1" t="s">
        <v>296</v>
      </c>
      <c r="C113" s="1">
        <v>1</v>
      </c>
      <c r="D113" s="1" t="s">
        <v>297</v>
      </c>
      <c r="E113" s="1" t="s">
        <v>298</v>
      </c>
    </row>
    <row r="114" spans="1:5" ht="15" customHeight="1">
      <c r="A114" s="1" t="s">
        <v>295</v>
      </c>
      <c r="B114" s="1" t="s">
        <v>299</v>
      </c>
      <c r="C114" s="1">
        <v>1</v>
      </c>
      <c r="D114" s="1" t="s">
        <v>300</v>
      </c>
      <c r="E114" s="1" t="s">
        <v>301</v>
      </c>
    </row>
    <row r="115" spans="1:5" ht="15" customHeight="1">
      <c r="A115" s="1" t="s">
        <v>302</v>
      </c>
      <c r="B115" s="1" t="s">
        <v>303</v>
      </c>
      <c r="C115" s="1">
        <v>1</v>
      </c>
      <c r="D115" s="1" t="s">
        <v>304</v>
      </c>
      <c r="E115" s="1" t="s">
        <v>305</v>
      </c>
    </row>
    <row r="116" spans="1:5" ht="15" customHeight="1">
      <c r="A116" s="1" t="s">
        <v>306</v>
      </c>
      <c r="B116" s="1" t="s">
        <v>307</v>
      </c>
      <c r="C116" s="1">
        <v>11</v>
      </c>
      <c r="D116" s="1" t="s">
        <v>308</v>
      </c>
      <c r="E116" s="1" t="s">
        <v>309</v>
      </c>
    </row>
    <row r="117" spans="1:5" ht="15" customHeight="1">
      <c r="A117" s="1" t="s">
        <v>295</v>
      </c>
      <c r="B117" s="1" t="s">
        <v>310</v>
      </c>
      <c r="C117" s="1">
        <v>1</v>
      </c>
      <c r="D117" s="1" t="s">
        <v>311</v>
      </c>
      <c r="E117" s="1" t="s">
        <v>312</v>
      </c>
    </row>
    <row r="118" spans="1:5" ht="15" customHeight="1">
      <c r="A118" s="1" t="s">
        <v>295</v>
      </c>
      <c r="B118" s="1" t="s">
        <v>313</v>
      </c>
      <c r="C118" s="1">
        <v>5</v>
      </c>
      <c r="D118" s="1" t="s">
        <v>314</v>
      </c>
      <c r="E118" s="1" t="s">
        <v>315</v>
      </c>
    </row>
    <row r="119" spans="1:5" ht="15" customHeight="1">
      <c r="A119" s="1" t="s">
        <v>295</v>
      </c>
      <c r="B119" s="1" t="s">
        <v>316</v>
      </c>
      <c r="C119" s="1">
        <v>2</v>
      </c>
      <c r="D119" s="1" t="s">
        <v>317</v>
      </c>
      <c r="E119" s="1" t="s">
        <v>318</v>
      </c>
    </row>
    <row r="120" spans="1:5" ht="15" customHeight="1">
      <c r="A120" s="1" t="s">
        <v>319</v>
      </c>
      <c r="B120" s="1" t="s">
        <v>320</v>
      </c>
      <c r="C120" s="1">
        <v>2</v>
      </c>
      <c r="D120" s="1" t="s">
        <v>321</v>
      </c>
      <c r="E120" s="1" t="s">
        <v>323</v>
      </c>
    </row>
    <row r="121" spans="1:5" ht="15" customHeight="1">
      <c r="A121" s="1" t="s">
        <v>295</v>
      </c>
      <c r="B121" s="1" t="s">
        <v>326</v>
      </c>
      <c r="C121" s="1">
        <v>1</v>
      </c>
      <c r="D121" s="1" t="s">
        <v>327</v>
      </c>
      <c r="E121" s="1" t="s">
        <v>328</v>
      </c>
    </row>
    <row r="122" spans="1:5" ht="15" customHeight="1">
      <c r="A122" s="1" t="s">
        <v>329</v>
      </c>
      <c r="B122" s="1" t="s">
        <v>134</v>
      </c>
      <c r="C122" s="1">
        <v>9</v>
      </c>
      <c r="D122" s="1" t="s">
        <v>330</v>
      </c>
      <c r="E122" s="1" t="s">
        <v>136</v>
      </c>
    </row>
    <row r="123" spans="1:5" ht="15" customHeight="1">
      <c r="A123" s="1" t="s">
        <v>331</v>
      </c>
      <c r="B123" s="1" t="s">
        <v>265</v>
      </c>
      <c r="C123" s="1">
        <v>1</v>
      </c>
      <c r="D123" s="1" t="s">
        <v>332</v>
      </c>
      <c r="E123" s="1" t="s">
        <v>267</v>
      </c>
    </row>
    <row r="124" spans="1:5" ht="15" customHeight="1">
      <c r="A124" s="1" t="s">
        <v>333</v>
      </c>
      <c r="B124" s="1" t="s">
        <v>20</v>
      </c>
      <c r="C124" s="1">
        <v>98</v>
      </c>
      <c r="D124" s="1" t="s">
        <v>338</v>
      </c>
      <c r="E124" s="1" t="s">
        <v>22</v>
      </c>
    </row>
    <row r="125" spans="1:5" ht="15" customHeight="1">
      <c r="A125" s="1" t="s">
        <v>339</v>
      </c>
      <c r="B125" s="1" t="s">
        <v>30</v>
      </c>
      <c r="C125" s="1">
        <v>1</v>
      </c>
      <c r="D125" s="1" t="s">
        <v>340</v>
      </c>
      <c r="E125" s="1" t="s">
        <v>32</v>
      </c>
    </row>
    <row r="126" spans="1:5" ht="15" customHeight="1">
      <c r="A126" s="1" t="s">
        <v>341</v>
      </c>
      <c r="B126" s="1" t="s">
        <v>342</v>
      </c>
      <c r="C126" s="1">
        <v>15</v>
      </c>
      <c r="D126" s="1" t="s">
        <v>343</v>
      </c>
      <c r="E126" s="1" t="s">
        <v>344</v>
      </c>
    </row>
    <row r="127" spans="1:5" ht="15" customHeight="1">
      <c r="A127" s="1" t="s">
        <v>345</v>
      </c>
      <c r="B127" s="1" t="s">
        <v>346</v>
      </c>
      <c r="C127" s="1">
        <v>29</v>
      </c>
      <c r="D127" s="1" t="s">
        <v>347</v>
      </c>
      <c r="E127" s="1" t="s">
        <v>348</v>
      </c>
    </row>
    <row r="128" spans="1:5" ht="15" customHeight="1">
      <c r="A128" s="1" t="s">
        <v>349</v>
      </c>
      <c r="B128" s="1" t="s">
        <v>13</v>
      </c>
      <c r="C128" s="1">
        <v>132</v>
      </c>
      <c r="D128" s="1" t="s">
        <v>350</v>
      </c>
      <c r="E128" s="1" t="s">
        <v>15</v>
      </c>
    </row>
    <row r="129" spans="1:5" ht="15" customHeight="1">
      <c r="A129" s="1" t="s">
        <v>351</v>
      </c>
      <c r="B129" s="1" t="s">
        <v>352</v>
      </c>
      <c r="C129" s="1">
        <v>14</v>
      </c>
      <c r="D129" s="1" t="s">
        <v>353</v>
      </c>
      <c r="E129" s="1" t="s">
        <v>354</v>
      </c>
    </row>
    <row r="130" spans="1:5" ht="15" customHeight="1">
      <c r="A130" s="1" t="s">
        <v>355</v>
      </c>
      <c r="B130" s="1" t="s">
        <v>356</v>
      </c>
      <c r="C130" s="1">
        <v>10</v>
      </c>
      <c r="D130" s="1" t="s">
        <v>357</v>
      </c>
      <c r="E130" s="1" t="s">
        <v>358</v>
      </c>
    </row>
    <row r="131" spans="1:5" ht="15" customHeight="1">
      <c r="A131" s="1" t="s">
        <v>359</v>
      </c>
      <c r="B131" s="1" t="s">
        <v>180</v>
      </c>
      <c r="C131" s="1">
        <v>10</v>
      </c>
      <c r="D131" s="1" t="s">
        <v>360</v>
      </c>
      <c r="E131" s="1" t="s">
        <v>180</v>
      </c>
    </row>
    <row r="132" spans="1:5" ht="15" customHeight="1">
      <c r="A132" s="1" t="s">
        <v>361</v>
      </c>
      <c r="B132" s="1" t="s">
        <v>362</v>
      </c>
      <c r="C132" s="1">
        <v>1</v>
      </c>
      <c r="D132" s="1" t="s">
        <v>364</v>
      </c>
      <c r="E132" s="1" t="s">
        <v>365</v>
      </c>
    </row>
    <row r="133" spans="1:5" ht="15" customHeight="1">
      <c r="A133" s="1" t="s">
        <v>366</v>
      </c>
      <c r="B133" s="1" t="s">
        <v>189</v>
      </c>
      <c r="C133" s="1">
        <v>13</v>
      </c>
      <c r="D133" s="1" t="s">
        <v>367</v>
      </c>
      <c r="E133" s="1" t="s">
        <v>191</v>
      </c>
    </row>
    <row r="134" spans="1:5" ht="15" customHeight="1">
      <c r="A134" s="1" t="s">
        <v>368</v>
      </c>
      <c r="B134" s="1" t="s">
        <v>189</v>
      </c>
      <c r="C134" s="1">
        <v>6</v>
      </c>
      <c r="D134" s="1" t="s">
        <v>369</v>
      </c>
      <c r="E134" s="1" t="s">
        <v>191</v>
      </c>
    </row>
    <row r="135" spans="1:5" ht="15" customHeight="1">
      <c r="A135" s="1" t="s">
        <v>371</v>
      </c>
      <c r="B135" s="1" t="s">
        <v>134</v>
      </c>
      <c r="C135" s="1">
        <v>10</v>
      </c>
      <c r="D135" s="1" t="s">
        <v>372</v>
      </c>
      <c r="E135" s="1" t="s">
        <v>136</v>
      </c>
    </row>
    <row r="136" spans="1:5" ht="15" customHeight="1">
      <c r="A136" s="1" t="s">
        <v>373</v>
      </c>
      <c r="B136" s="1" t="s">
        <v>134</v>
      </c>
      <c r="C136" s="1">
        <v>17</v>
      </c>
      <c r="D136" s="1" t="s">
        <v>375</v>
      </c>
      <c r="E136" s="1" t="s">
        <v>136</v>
      </c>
    </row>
    <row r="137" spans="1:5" ht="15" customHeight="1">
      <c r="A137" s="1" t="s">
        <v>376</v>
      </c>
      <c r="B137" s="1" t="s">
        <v>134</v>
      </c>
      <c r="C137" s="1">
        <v>27</v>
      </c>
      <c r="D137" s="1" t="s">
        <v>377</v>
      </c>
      <c r="E137" s="1" t="s">
        <v>136</v>
      </c>
    </row>
    <row r="138" spans="1:5" ht="15" customHeight="1">
      <c r="A138" s="1" t="s">
        <v>378</v>
      </c>
      <c r="B138" s="1" t="s">
        <v>379</v>
      </c>
      <c r="C138" s="1">
        <v>10</v>
      </c>
      <c r="D138" s="1" t="s">
        <v>380</v>
      </c>
      <c r="E138" s="1" t="s">
        <v>381</v>
      </c>
    </row>
    <row r="139" spans="1:5" ht="15" customHeight="1">
      <c r="A139" s="1" t="s">
        <v>382</v>
      </c>
      <c r="B139" s="1" t="s">
        <v>383</v>
      </c>
      <c r="C139" s="1">
        <v>1</v>
      </c>
      <c r="D139" s="1" t="s">
        <v>384</v>
      </c>
      <c r="E139" s="1" t="s">
        <v>385</v>
      </c>
    </row>
    <row r="140" spans="1:5" ht="15" customHeight="1">
      <c r="A140" s="1" t="s">
        <v>386</v>
      </c>
      <c r="B140" s="1" t="s">
        <v>352</v>
      </c>
      <c r="C140" s="1">
        <v>3</v>
      </c>
      <c r="D140" s="1" t="s">
        <v>387</v>
      </c>
      <c r="E140" s="1" t="s">
        <v>354</v>
      </c>
    </row>
    <row r="141" spans="1:5" ht="15" customHeight="1">
      <c r="A141" s="1" t="s">
        <v>389</v>
      </c>
      <c r="B141" s="1" t="s">
        <v>391</v>
      </c>
      <c r="C141" s="1">
        <v>215</v>
      </c>
      <c r="D141" s="1" t="s">
        <v>393</v>
      </c>
      <c r="E141" s="1" t="s">
        <v>395</v>
      </c>
    </row>
    <row r="142" spans="1:5" ht="15" customHeight="1">
      <c r="A142" s="1" t="s">
        <v>396</v>
      </c>
      <c r="B142" s="1" t="s">
        <v>1</v>
      </c>
      <c r="C142" s="1">
        <v>1</v>
      </c>
      <c r="D142" s="1" t="s">
        <v>397</v>
      </c>
      <c r="E142" s="1" t="s">
        <v>3</v>
      </c>
    </row>
    <row r="143" spans="1:5" ht="15" customHeight="1">
      <c r="A143" s="1" t="s">
        <v>399</v>
      </c>
      <c r="B143" s="1" t="s">
        <v>180</v>
      </c>
      <c r="C143" s="1">
        <v>3</v>
      </c>
      <c r="D143" s="1" t="s">
        <v>401</v>
      </c>
      <c r="E143" s="1" t="s">
        <v>180</v>
      </c>
    </row>
    <row r="144" spans="1:5" ht="15" customHeight="1">
      <c r="A144" s="1" t="s">
        <v>402</v>
      </c>
      <c r="B144" s="1" t="s">
        <v>403</v>
      </c>
      <c r="C144" s="1">
        <v>4</v>
      </c>
      <c r="D144" s="1" t="s">
        <v>404</v>
      </c>
      <c r="E144" s="1" t="s">
        <v>405</v>
      </c>
    </row>
    <row r="145" spans="1:5" ht="15" customHeight="1">
      <c r="A145" s="1" t="s">
        <v>406</v>
      </c>
      <c r="B145" s="1" t="s">
        <v>403</v>
      </c>
      <c r="C145" s="1">
        <v>5</v>
      </c>
      <c r="D145" s="1" t="s">
        <v>407</v>
      </c>
      <c r="E145" s="1" t="s">
        <v>405</v>
      </c>
    </row>
    <row r="146" spans="1:5" ht="15" customHeight="1">
      <c r="A146" s="1" t="s">
        <v>408</v>
      </c>
      <c r="B146" s="1" t="s">
        <v>403</v>
      </c>
      <c r="C146" s="1">
        <v>1</v>
      </c>
      <c r="D146" s="1" t="s">
        <v>409</v>
      </c>
      <c r="E146" s="1" t="s">
        <v>405</v>
      </c>
    </row>
    <row r="147" spans="1:5" ht="15" customHeight="1">
      <c r="A147" s="1" t="s">
        <v>410</v>
      </c>
      <c r="B147" s="1" t="s">
        <v>1</v>
      </c>
      <c r="C147" s="1">
        <v>1</v>
      </c>
      <c r="D147" s="1" t="s">
        <v>411</v>
      </c>
      <c r="E147" s="1" t="s">
        <v>3</v>
      </c>
    </row>
    <row r="148" spans="1:5" ht="15" customHeight="1">
      <c r="A148" s="1" t="s">
        <v>412</v>
      </c>
      <c r="B148" s="1" t="s">
        <v>413</v>
      </c>
      <c r="C148" s="1">
        <v>2</v>
      </c>
      <c r="D148" s="1" t="s">
        <v>414</v>
      </c>
      <c r="E148" s="1" t="s">
        <v>415</v>
      </c>
    </row>
    <row r="149" spans="1:5" ht="15" customHeight="1">
      <c r="A149" s="1" t="s">
        <v>416</v>
      </c>
      <c r="B149" s="1" t="s">
        <v>1</v>
      </c>
      <c r="C149" s="1">
        <v>3</v>
      </c>
      <c r="D149" s="1" t="s">
        <v>417</v>
      </c>
      <c r="E149" s="1" t="s">
        <v>3</v>
      </c>
    </row>
    <row r="150" spans="1:5" ht="15" customHeight="1">
      <c r="A150" s="1" t="s">
        <v>418</v>
      </c>
      <c r="B150" s="1" t="s">
        <v>1</v>
      </c>
      <c r="C150" s="1">
        <v>10</v>
      </c>
      <c r="D150" s="1" t="s">
        <v>419</v>
      </c>
      <c r="E150" s="1" t="s">
        <v>3</v>
      </c>
    </row>
    <row r="151" spans="1:5" ht="15" customHeight="1">
      <c r="A151" s="1" t="s">
        <v>420</v>
      </c>
      <c r="B151" s="1" t="s">
        <v>134</v>
      </c>
      <c r="C151" s="1">
        <v>4</v>
      </c>
      <c r="D151" s="1" t="s">
        <v>421</v>
      </c>
      <c r="E151" s="1" t="s">
        <v>136</v>
      </c>
    </row>
    <row r="152" spans="1:5" ht="15" customHeight="1">
      <c r="A152" s="1" t="s">
        <v>422</v>
      </c>
      <c r="B152" s="1" t="s">
        <v>423</v>
      </c>
      <c r="C152" s="1">
        <v>6</v>
      </c>
      <c r="D152" s="1" t="s">
        <v>424</v>
      </c>
      <c r="E152" s="1" t="s">
        <v>425</v>
      </c>
    </row>
    <row r="153" spans="1:5" ht="15" customHeight="1">
      <c r="A153" s="1" t="s">
        <v>426</v>
      </c>
      <c r="B153" s="1" t="s">
        <v>427</v>
      </c>
      <c r="C153" s="1">
        <v>1</v>
      </c>
      <c r="D153" s="1" t="s">
        <v>428</v>
      </c>
      <c r="E153" s="1" t="s">
        <v>429</v>
      </c>
    </row>
    <row r="154" spans="1:5" ht="15" customHeight="1">
      <c r="A154" s="1" t="s">
        <v>430</v>
      </c>
      <c r="B154" s="1" t="s">
        <v>5</v>
      </c>
      <c r="C154" s="1">
        <v>2</v>
      </c>
      <c r="D154" s="1" t="s">
        <v>431</v>
      </c>
      <c r="E154" s="1" t="s">
        <v>7</v>
      </c>
    </row>
    <row r="155" spans="1:5" ht="15" customHeight="1">
      <c r="A155" s="1" t="s">
        <v>432</v>
      </c>
      <c r="B155" s="1" t="s">
        <v>433</v>
      </c>
      <c r="C155" s="1">
        <v>1</v>
      </c>
      <c r="D155" s="1" t="s">
        <v>435</v>
      </c>
      <c r="E155" s="1" t="s">
        <v>436</v>
      </c>
    </row>
    <row r="156" spans="1:5" ht="15" customHeight="1">
      <c r="A156" s="1" t="s">
        <v>437</v>
      </c>
      <c r="B156" s="1" t="s">
        <v>438</v>
      </c>
      <c r="C156" s="1">
        <v>1</v>
      </c>
      <c r="D156" s="1" t="s">
        <v>439</v>
      </c>
      <c r="E156" s="1" t="s">
        <v>440</v>
      </c>
    </row>
    <row r="157" spans="1:5" ht="15" customHeight="1">
      <c r="A157" s="1" t="s">
        <v>441</v>
      </c>
      <c r="B157" s="1" t="s">
        <v>30</v>
      </c>
      <c r="C157" s="1">
        <v>3</v>
      </c>
      <c r="D157" s="1" t="s">
        <v>442</v>
      </c>
      <c r="E157" s="1" t="s">
        <v>32</v>
      </c>
    </row>
    <row r="158" spans="1:5" ht="15" customHeight="1">
      <c r="A158" s="1" t="s">
        <v>443</v>
      </c>
      <c r="B158" s="1" t="s">
        <v>444</v>
      </c>
      <c r="C158" s="1">
        <v>2</v>
      </c>
      <c r="D158" s="1" t="s">
        <v>445</v>
      </c>
      <c r="E158" s="1" t="s">
        <v>447</v>
      </c>
    </row>
    <row r="159" spans="1:5" ht="15" customHeight="1">
      <c r="A159" s="1" t="s">
        <v>449</v>
      </c>
      <c r="B159" s="1" t="s">
        <v>383</v>
      </c>
      <c r="C159" s="1">
        <v>1</v>
      </c>
      <c r="D159" s="1" t="s">
        <v>450</v>
      </c>
      <c r="E159" s="1" t="s">
        <v>385</v>
      </c>
    </row>
    <row r="160" spans="1:5" ht="15" customHeight="1">
      <c r="A160" s="1" t="s">
        <v>451</v>
      </c>
      <c r="B160" s="1" t="s">
        <v>1</v>
      </c>
      <c r="C160" s="1">
        <v>1</v>
      </c>
      <c r="D160" s="1" t="s">
        <v>452</v>
      </c>
      <c r="E160" s="1" t="s">
        <v>3</v>
      </c>
    </row>
    <row r="161" spans="1:5" ht="15" customHeight="1">
      <c r="A161" s="1" t="s">
        <v>453</v>
      </c>
      <c r="B161" s="1" t="s">
        <v>265</v>
      </c>
      <c r="C161" s="1">
        <v>2</v>
      </c>
      <c r="D161" s="1" t="s">
        <v>455</v>
      </c>
      <c r="E161" s="1" t="s">
        <v>267</v>
      </c>
    </row>
    <row r="162" spans="1:5" ht="15" customHeight="1">
      <c r="A162" s="1" t="s">
        <v>457</v>
      </c>
      <c r="B162" s="1" t="s">
        <v>352</v>
      </c>
      <c r="C162" s="1">
        <v>4</v>
      </c>
      <c r="D162" s="1" t="s">
        <v>459</v>
      </c>
      <c r="E162" s="1" t="s">
        <v>354</v>
      </c>
    </row>
    <row r="163" spans="1:5" ht="15" customHeight="1">
      <c r="A163" s="1" t="s">
        <v>460</v>
      </c>
      <c r="B163" s="1" t="s">
        <v>1</v>
      </c>
      <c r="C163" s="1">
        <v>1</v>
      </c>
      <c r="D163" s="1" t="s">
        <v>461</v>
      </c>
      <c r="E163" s="1" t="s">
        <v>3</v>
      </c>
    </row>
    <row r="164" spans="1:5" ht="15" customHeight="1">
      <c r="A164" s="1" t="s">
        <v>462</v>
      </c>
      <c r="B164" s="1" t="s">
        <v>403</v>
      </c>
      <c r="C164" s="1">
        <v>10</v>
      </c>
      <c r="D164" s="1" t="s">
        <v>464</v>
      </c>
      <c r="E164" s="1" t="s">
        <v>405</v>
      </c>
    </row>
    <row r="165" spans="1:5" ht="15" customHeight="1">
      <c r="A165" s="1" t="s">
        <v>468</v>
      </c>
      <c r="B165" s="1" t="s">
        <v>1</v>
      </c>
      <c r="C165" s="1">
        <v>1</v>
      </c>
      <c r="D165" s="1" t="s">
        <v>470</v>
      </c>
      <c r="E165" s="1" t="s">
        <v>3</v>
      </c>
    </row>
    <row r="166" spans="1:5" ht="15" customHeight="1">
      <c r="A166" s="1" t="s">
        <v>472</v>
      </c>
      <c r="B166" s="1" t="s">
        <v>473</v>
      </c>
      <c r="C166" s="1">
        <v>2</v>
      </c>
      <c r="D166" s="1" t="s">
        <v>475</v>
      </c>
      <c r="E166" s="1" t="s">
        <v>477</v>
      </c>
    </row>
    <row r="167" spans="1:5" ht="15" customHeight="1">
      <c r="A167" s="1" t="s">
        <v>478</v>
      </c>
      <c r="B167" s="1" t="s">
        <v>479</v>
      </c>
      <c r="C167" s="1">
        <v>8</v>
      </c>
      <c r="D167" s="1" t="s">
        <v>480</v>
      </c>
      <c r="E167" s="1" t="s">
        <v>481</v>
      </c>
    </row>
    <row r="168" spans="1:5" ht="15" customHeight="1">
      <c r="A168" s="1" t="s">
        <v>482</v>
      </c>
      <c r="B168" s="1" t="s">
        <v>13</v>
      </c>
      <c r="C168" s="1">
        <v>87</v>
      </c>
      <c r="D168" s="1" t="s">
        <v>483</v>
      </c>
      <c r="E168" s="1" t="s">
        <v>15</v>
      </c>
    </row>
    <row r="169" spans="1:5" ht="15" customHeight="1">
      <c r="A169" s="1" t="s">
        <v>484</v>
      </c>
      <c r="B169" s="1" t="s">
        <v>379</v>
      </c>
      <c r="C169" s="1">
        <v>4</v>
      </c>
      <c r="D169" s="1" t="s">
        <v>485</v>
      </c>
      <c r="E169" s="1" t="s">
        <v>381</v>
      </c>
    </row>
    <row r="170" spans="1:5" ht="15" customHeight="1">
      <c r="A170" s="1" t="s">
        <v>486</v>
      </c>
      <c r="B170" s="1" t="s">
        <v>1</v>
      </c>
      <c r="C170" s="1">
        <v>5</v>
      </c>
      <c r="D170" s="1" t="s">
        <v>487</v>
      </c>
      <c r="E170" s="1" t="s">
        <v>3</v>
      </c>
    </row>
    <row r="171" spans="1:5" ht="15" customHeight="1">
      <c r="A171" s="1" t="s">
        <v>488</v>
      </c>
      <c r="B171" s="1" t="s">
        <v>490</v>
      </c>
      <c r="C171" s="1">
        <v>1</v>
      </c>
      <c r="D171" s="1" t="s">
        <v>491</v>
      </c>
      <c r="E171" s="1" t="s">
        <v>492</v>
      </c>
    </row>
    <row r="172" spans="1:5" ht="15" customHeight="1">
      <c r="A172" s="1" t="s">
        <v>493</v>
      </c>
      <c r="B172" s="1" t="s">
        <v>1</v>
      </c>
      <c r="C172" s="1">
        <v>4</v>
      </c>
      <c r="D172" s="1" t="s">
        <v>494</v>
      </c>
      <c r="E172" s="1" t="s">
        <v>3</v>
      </c>
    </row>
    <row r="173" spans="1:5" ht="15" customHeight="1">
      <c r="A173" s="1" t="s">
        <v>495</v>
      </c>
      <c r="B173" s="1" t="s">
        <v>496</v>
      </c>
      <c r="C173" s="1">
        <v>2</v>
      </c>
      <c r="D173" s="1" t="s">
        <v>497</v>
      </c>
      <c r="E173" s="1" t="s">
        <v>498</v>
      </c>
    </row>
    <row r="174" spans="1:5" ht="15" customHeight="1">
      <c r="A174" s="1" t="s">
        <v>499</v>
      </c>
      <c r="B174" s="1" t="s">
        <v>59</v>
      </c>
      <c r="C174" s="1">
        <v>3</v>
      </c>
      <c r="D174" s="1" t="s">
        <v>500</v>
      </c>
      <c r="E174" s="1" t="s">
        <v>61</v>
      </c>
    </row>
    <row r="175" spans="1:5" ht="15" customHeight="1">
      <c r="A175" s="1" t="s">
        <v>501</v>
      </c>
      <c r="B175" s="1" t="s">
        <v>59</v>
      </c>
      <c r="C175" s="1">
        <v>2</v>
      </c>
      <c r="D175" s="1" t="s">
        <v>502</v>
      </c>
      <c r="E175" s="1" t="s">
        <v>61</v>
      </c>
    </row>
    <row r="176" spans="1:5" ht="15" customHeight="1">
      <c r="A176" s="1" t="s">
        <v>503</v>
      </c>
      <c r="B176" s="1" t="s">
        <v>5</v>
      </c>
      <c r="C176" s="1">
        <v>87</v>
      </c>
      <c r="D176" s="1" t="s">
        <v>504</v>
      </c>
      <c r="E176" s="1" t="s">
        <v>7</v>
      </c>
    </row>
    <row r="177" spans="1:5" ht="15" customHeight="1">
      <c r="A177" s="1" t="s">
        <v>505</v>
      </c>
      <c r="B177" s="1" t="s">
        <v>71</v>
      </c>
      <c r="C177" s="1">
        <v>16</v>
      </c>
      <c r="D177" s="1" t="s">
        <v>506</v>
      </c>
      <c r="E177" s="1" t="s">
        <v>73</v>
      </c>
    </row>
    <row r="178" spans="1:5" ht="15" customHeight="1">
      <c r="A178" s="1" t="s">
        <v>507</v>
      </c>
      <c r="B178" s="1" t="s">
        <v>423</v>
      </c>
      <c r="C178" s="1">
        <v>3</v>
      </c>
      <c r="D178" s="1" t="s">
        <v>508</v>
      </c>
      <c r="E178" s="1" t="s">
        <v>425</v>
      </c>
    </row>
    <row r="179" spans="1:5" ht="15" customHeight="1">
      <c r="C179">
        <f>SUM(C1:C178)</f>
        <v>1673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/>
  <cols>
    <col min="2" max="2" width="36.33203125" customWidth="1"/>
    <col min="3" max="3" width="24.44140625" customWidth="1"/>
    <col min="4" max="4" width="27" customWidth="1"/>
    <col min="7" max="7" width="32" customWidth="1"/>
  </cols>
  <sheetData>
    <row r="1" spans="1:12" ht="13.2">
      <c r="A1" s="20" t="s">
        <v>97</v>
      </c>
      <c r="B1" s="20"/>
      <c r="C1" s="24" t="s">
        <v>272</v>
      </c>
      <c r="G1" s="39"/>
      <c r="H1" s="24" t="s">
        <v>514</v>
      </c>
    </row>
    <row r="2" spans="1:12" ht="13.2">
      <c r="A2" s="20"/>
      <c r="B2" s="20"/>
      <c r="C2" s="24" t="s">
        <v>515</v>
      </c>
      <c r="D2" s="24" t="s">
        <v>516</v>
      </c>
      <c r="E2" s="24" t="s">
        <v>517</v>
      </c>
      <c r="F2" s="24" t="s">
        <v>518</v>
      </c>
      <c r="G2" s="41" t="s">
        <v>519</v>
      </c>
      <c r="H2" s="24" t="s">
        <v>520</v>
      </c>
      <c r="I2" s="24" t="s">
        <v>521</v>
      </c>
      <c r="J2" s="24" t="s">
        <v>522</v>
      </c>
      <c r="K2" s="24" t="s">
        <v>523</v>
      </c>
      <c r="L2" s="20"/>
    </row>
    <row r="3" spans="1:12" ht="13.2">
      <c r="A3" s="20"/>
      <c r="B3" s="20"/>
      <c r="C3" s="43" t="s">
        <v>524</v>
      </c>
      <c r="D3" s="43" t="s">
        <v>525</v>
      </c>
      <c r="E3" s="45" t="b">
        <v>0</v>
      </c>
      <c r="F3" s="45" t="b">
        <v>0</v>
      </c>
      <c r="G3" s="46" t="s">
        <v>530</v>
      </c>
      <c r="H3" s="20" t="s">
        <v>533</v>
      </c>
      <c r="I3" s="20" t="s">
        <v>534</v>
      </c>
      <c r="J3" s="20" t="s">
        <v>535</v>
      </c>
      <c r="K3" s="20" t="s">
        <v>536</v>
      </c>
    </row>
    <row r="4" spans="1:12" ht="13.2">
      <c r="A4" s="20" t="s">
        <v>537</v>
      </c>
      <c r="C4" s="43" t="s">
        <v>539</v>
      </c>
      <c r="D4" s="43" t="s">
        <v>540</v>
      </c>
      <c r="E4" s="45" t="b">
        <v>0</v>
      </c>
      <c r="F4" s="45" t="b">
        <v>0</v>
      </c>
      <c r="G4" s="46" t="s">
        <v>542</v>
      </c>
      <c r="H4" s="20" t="s">
        <v>544</v>
      </c>
      <c r="I4" s="20" t="s">
        <v>545</v>
      </c>
      <c r="J4" s="20" t="s">
        <v>547</v>
      </c>
      <c r="K4" s="20" t="s">
        <v>548</v>
      </c>
    </row>
    <row r="5" spans="1:12" ht="13.2">
      <c r="A5" s="24" t="s">
        <v>515</v>
      </c>
      <c r="B5" s="24" t="s">
        <v>522</v>
      </c>
      <c r="C5" s="43" t="s">
        <v>551</v>
      </c>
      <c r="D5" s="43" t="s">
        <v>553</v>
      </c>
      <c r="E5" s="49" t="b">
        <v>1</v>
      </c>
      <c r="F5" s="49" t="b">
        <v>1</v>
      </c>
      <c r="G5" s="46" t="s">
        <v>581</v>
      </c>
      <c r="H5" s="20" t="s">
        <v>582</v>
      </c>
      <c r="I5" s="20" t="s">
        <v>583</v>
      </c>
      <c r="J5" s="20" t="s">
        <v>585</v>
      </c>
      <c r="K5" s="20" t="s">
        <v>586</v>
      </c>
    </row>
    <row r="6" spans="1:12" ht="13.2">
      <c r="A6" s="20" t="s">
        <v>587</v>
      </c>
      <c r="C6" s="43" t="s">
        <v>588</v>
      </c>
      <c r="D6" s="43" t="s">
        <v>589</v>
      </c>
      <c r="E6" s="45" t="b">
        <v>0</v>
      </c>
      <c r="F6" s="45" t="b">
        <v>0</v>
      </c>
      <c r="G6" s="46" t="s">
        <v>530</v>
      </c>
      <c r="H6" s="20" t="s">
        <v>592</v>
      </c>
      <c r="I6" s="20" t="s">
        <v>593</v>
      </c>
      <c r="J6" s="20" t="s">
        <v>594</v>
      </c>
      <c r="K6" s="20" t="s">
        <v>596</v>
      </c>
    </row>
    <row r="7" spans="1:12" ht="13.2">
      <c r="A7" s="20" t="s">
        <v>597</v>
      </c>
      <c r="C7" s="43" t="s">
        <v>598</v>
      </c>
      <c r="D7" s="43" t="s">
        <v>599</v>
      </c>
      <c r="E7" s="45" t="b">
        <v>0</v>
      </c>
      <c r="F7" s="45" t="b">
        <v>0</v>
      </c>
      <c r="G7" s="46" t="s">
        <v>601</v>
      </c>
      <c r="H7" s="20" t="s">
        <v>603</v>
      </c>
      <c r="I7" s="20" t="s">
        <v>534</v>
      </c>
      <c r="J7" s="20" t="s">
        <v>604</v>
      </c>
      <c r="K7" s="20" t="s">
        <v>605</v>
      </c>
    </row>
    <row r="8" spans="1:12" ht="13.2">
      <c r="A8" s="20" t="s">
        <v>606</v>
      </c>
      <c r="C8" s="43" t="s">
        <v>607</v>
      </c>
      <c r="D8" s="43" t="s">
        <v>608</v>
      </c>
      <c r="E8" s="45" t="b">
        <v>0</v>
      </c>
      <c r="F8" s="45" t="b">
        <v>0</v>
      </c>
      <c r="G8" s="46" t="s">
        <v>530</v>
      </c>
      <c r="H8" s="20" t="s">
        <v>612</v>
      </c>
      <c r="I8" s="51" t="s">
        <v>613</v>
      </c>
      <c r="J8" s="20" t="s">
        <v>618</v>
      </c>
      <c r="K8" s="20" t="s">
        <v>620</v>
      </c>
    </row>
    <row r="9" spans="1:12" ht="17.25" customHeight="1">
      <c r="A9" s="20" t="s">
        <v>623</v>
      </c>
      <c r="C9" s="43" t="s">
        <v>624</v>
      </c>
      <c r="D9" s="43" t="s">
        <v>626</v>
      </c>
      <c r="E9" s="45" t="b">
        <v>0</v>
      </c>
      <c r="F9" s="45" t="b">
        <v>0</v>
      </c>
      <c r="G9" s="46" t="s">
        <v>641</v>
      </c>
      <c r="H9" s="20" t="s">
        <v>643</v>
      </c>
      <c r="I9" s="20" t="s">
        <v>645</v>
      </c>
      <c r="J9" s="20" t="s">
        <v>646</v>
      </c>
      <c r="K9" s="20" t="s">
        <v>647</v>
      </c>
    </row>
    <row r="10" spans="1:12" ht="13.2">
      <c r="A10" s="24" t="s">
        <v>648</v>
      </c>
      <c r="B10" s="24" t="s">
        <v>649</v>
      </c>
      <c r="C10" s="43" t="s">
        <v>650</v>
      </c>
      <c r="D10" s="43" t="s">
        <v>651</v>
      </c>
      <c r="E10" s="45" t="b">
        <v>0</v>
      </c>
      <c r="F10" s="45" t="b">
        <v>0</v>
      </c>
      <c r="G10" s="46" t="s">
        <v>530</v>
      </c>
      <c r="H10" s="20" t="s">
        <v>653</v>
      </c>
      <c r="I10" s="20" t="s">
        <v>654</v>
      </c>
      <c r="J10" s="20" t="s">
        <v>655</v>
      </c>
      <c r="K10" s="20" t="s">
        <v>656</v>
      </c>
    </row>
    <row r="11" spans="1:12" ht="13.2">
      <c r="A11" s="20" t="s">
        <v>657</v>
      </c>
      <c r="C11" s="43" t="s">
        <v>658</v>
      </c>
      <c r="D11" s="43" t="s">
        <v>659</v>
      </c>
      <c r="E11" s="49" t="b">
        <v>1</v>
      </c>
      <c r="F11" s="45" t="b">
        <v>0</v>
      </c>
      <c r="G11" s="46" t="s">
        <v>660</v>
      </c>
      <c r="H11" s="20" t="s">
        <v>661</v>
      </c>
      <c r="I11" s="20" t="s">
        <v>662</v>
      </c>
      <c r="J11" s="20" t="s">
        <v>663</v>
      </c>
      <c r="K11" s="20" t="s">
        <v>664</v>
      </c>
    </row>
    <row r="12" spans="1:12" ht="13.2">
      <c r="A12" s="20" t="s">
        <v>665</v>
      </c>
      <c r="C12" s="43" t="s">
        <v>666</v>
      </c>
      <c r="D12" s="43" t="s">
        <v>667</v>
      </c>
      <c r="E12" s="45" t="b">
        <v>0</v>
      </c>
      <c r="F12" s="45" t="b">
        <v>0</v>
      </c>
      <c r="G12" s="46" t="s">
        <v>530</v>
      </c>
      <c r="H12" s="20" t="s">
        <v>668</v>
      </c>
      <c r="I12" s="20" t="s">
        <v>669</v>
      </c>
      <c r="J12" s="20" t="s">
        <v>670</v>
      </c>
      <c r="K12" s="20" t="s">
        <v>671</v>
      </c>
    </row>
    <row r="13" spans="1:12" ht="13.2">
      <c r="C13" s="43" t="s">
        <v>673</v>
      </c>
      <c r="D13" s="43" t="s">
        <v>674</v>
      </c>
      <c r="E13" s="45" t="b">
        <v>0</v>
      </c>
      <c r="F13" s="45" t="b">
        <v>0</v>
      </c>
      <c r="G13" s="46" t="s">
        <v>676</v>
      </c>
      <c r="H13" s="20" t="s">
        <v>678</v>
      </c>
      <c r="I13" s="20" t="s">
        <v>679</v>
      </c>
      <c r="J13" s="20" t="s">
        <v>680</v>
      </c>
      <c r="K13" s="20" t="s">
        <v>681</v>
      </c>
    </row>
    <row r="14" spans="1:12" ht="13.2">
      <c r="A14" s="20" t="s">
        <v>682</v>
      </c>
      <c r="C14" s="43" t="s">
        <v>683</v>
      </c>
      <c r="D14" s="43" t="s">
        <v>684</v>
      </c>
      <c r="E14" s="45" t="b">
        <v>0</v>
      </c>
      <c r="F14" s="45" t="b">
        <v>0</v>
      </c>
      <c r="G14" s="46" t="s">
        <v>685</v>
      </c>
      <c r="H14" s="20" t="s">
        <v>686</v>
      </c>
      <c r="I14" s="20" t="s">
        <v>687</v>
      </c>
      <c r="J14" s="20" t="s">
        <v>688</v>
      </c>
      <c r="K14" s="20" t="s">
        <v>689</v>
      </c>
    </row>
    <row r="15" spans="1:12" ht="13.2">
      <c r="A15" s="20" t="s">
        <v>690</v>
      </c>
      <c r="B15" s="20" t="s">
        <v>691</v>
      </c>
      <c r="C15" s="43" t="s">
        <v>692</v>
      </c>
      <c r="D15" s="43" t="s">
        <v>693</v>
      </c>
      <c r="E15" s="45" t="b">
        <v>0</v>
      </c>
      <c r="F15" s="45" t="b">
        <v>0</v>
      </c>
      <c r="G15" s="46" t="s">
        <v>530</v>
      </c>
      <c r="H15" s="54" t="s">
        <v>694</v>
      </c>
      <c r="I15" s="20" t="s">
        <v>695</v>
      </c>
      <c r="J15" s="20" t="s">
        <v>696</v>
      </c>
      <c r="K15" s="20" t="s">
        <v>697</v>
      </c>
    </row>
    <row r="16" spans="1:12" ht="13.2">
      <c r="A16" s="20" t="s">
        <v>698</v>
      </c>
      <c r="B16" s="20" t="s">
        <v>699</v>
      </c>
      <c r="C16" s="43" t="s">
        <v>700</v>
      </c>
      <c r="D16" s="43" t="s">
        <v>701</v>
      </c>
      <c r="E16" s="45" t="b">
        <v>0</v>
      </c>
      <c r="F16" s="45" t="b">
        <v>0</v>
      </c>
      <c r="G16" s="46" t="s">
        <v>702</v>
      </c>
      <c r="H16" s="20" t="s">
        <v>703</v>
      </c>
      <c r="I16" s="51" t="s">
        <v>704</v>
      </c>
      <c r="J16" s="20" t="s">
        <v>705</v>
      </c>
      <c r="K16" s="20" t="s">
        <v>706</v>
      </c>
    </row>
    <row r="17" spans="1:11" ht="13.2">
      <c r="C17" s="43" t="s">
        <v>691</v>
      </c>
      <c r="D17" s="43" t="s">
        <v>708</v>
      </c>
      <c r="E17" s="49" t="b">
        <v>1</v>
      </c>
      <c r="F17" s="49" t="b">
        <v>1</v>
      </c>
      <c r="G17" s="46" t="s">
        <v>702</v>
      </c>
      <c r="H17" s="20" t="s">
        <v>709</v>
      </c>
      <c r="I17" s="20" t="s">
        <v>710</v>
      </c>
      <c r="J17" s="20" t="s">
        <v>711</v>
      </c>
      <c r="K17" s="20" t="s">
        <v>712</v>
      </c>
    </row>
    <row r="18" spans="1:11" ht="13.2">
      <c r="A18" s="20" t="s">
        <v>713</v>
      </c>
      <c r="C18" s="43" t="s">
        <v>714</v>
      </c>
      <c r="D18" s="43" t="s">
        <v>715</v>
      </c>
      <c r="E18" s="45" t="b">
        <v>0</v>
      </c>
      <c r="F18" s="45" t="b">
        <v>0</v>
      </c>
      <c r="G18" s="46" t="s">
        <v>530</v>
      </c>
      <c r="H18" s="20" t="s">
        <v>716</v>
      </c>
      <c r="I18" s="20" t="s">
        <v>718</v>
      </c>
      <c r="J18" s="20" t="s">
        <v>719</v>
      </c>
      <c r="K18" s="20" t="s">
        <v>721</v>
      </c>
    </row>
    <row r="19" spans="1:11" ht="13.2">
      <c r="C19" s="43" t="s">
        <v>723</v>
      </c>
      <c r="D19" s="43" t="s">
        <v>725</v>
      </c>
      <c r="E19" s="45" t="b">
        <v>0</v>
      </c>
      <c r="F19" s="45" t="b">
        <v>0</v>
      </c>
      <c r="G19" s="46" t="s">
        <v>530</v>
      </c>
      <c r="H19" s="20" t="s">
        <v>727</v>
      </c>
      <c r="I19" s="20" t="s">
        <v>729</v>
      </c>
      <c r="J19" s="20" t="s">
        <v>730</v>
      </c>
      <c r="K19" s="20" t="s">
        <v>731</v>
      </c>
    </row>
    <row r="20" spans="1:11" ht="13.2">
      <c r="C20" s="43" t="s">
        <v>732</v>
      </c>
      <c r="D20" s="43" t="s">
        <v>733</v>
      </c>
      <c r="E20" s="45" t="b">
        <v>0</v>
      </c>
      <c r="F20" s="45" t="b">
        <v>0</v>
      </c>
      <c r="G20" s="46" t="s">
        <v>734</v>
      </c>
      <c r="H20" s="20" t="s">
        <v>735</v>
      </c>
      <c r="I20" s="20" t="s">
        <v>534</v>
      </c>
      <c r="J20" s="20" t="s">
        <v>736</v>
      </c>
      <c r="K20" s="20" t="s">
        <v>737</v>
      </c>
    </row>
    <row r="21" spans="1:11" ht="13.2">
      <c r="C21" s="43" t="s">
        <v>739</v>
      </c>
      <c r="D21" s="43" t="s">
        <v>741</v>
      </c>
      <c r="E21" s="45" t="b">
        <v>0</v>
      </c>
      <c r="F21" s="45" t="b">
        <v>0</v>
      </c>
      <c r="G21" s="46" t="s">
        <v>743</v>
      </c>
      <c r="H21" s="20" t="s">
        <v>744</v>
      </c>
      <c r="I21" s="20" t="s">
        <v>534</v>
      </c>
      <c r="J21" s="20" t="s">
        <v>746</v>
      </c>
      <c r="K21" s="20" t="s">
        <v>747</v>
      </c>
    </row>
    <row r="22" spans="1:11" ht="19.5" customHeight="1">
      <c r="C22" s="43" t="s">
        <v>749</v>
      </c>
      <c r="D22" s="43" t="s">
        <v>751</v>
      </c>
      <c r="E22" s="49" t="b">
        <v>1</v>
      </c>
      <c r="F22" s="45" t="b">
        <v>0</v>
      </c>
      <c r="G22" s="46" t="s">
        <v>753</v>
      </c>
      <c r="H22" s="20" t="s">
        <v>755</v>
      </c>
      <c r="I22" s="20" t="s">
        <v>756</v>
      </c>
      <c r="J22" s="20" t="s">
        <v>757</v>
      </c>
      <c r="K22" s="20" t="s">
        <v>758</v>
      </c>
    </row>
    <row r="23" spans="1:11" ht="13.2">
      <c r="C23" s="43" t="s">
        <v>760</v>
      </c>
      <c r="D23" s="43" t="s">
        <v>762</v>
      </c>
      <c r="E23" s="49" t="b">
        <v>1</v>
      </c>
      <c r="F23" s="49" t="b">
        <v>1</v>
      </c>
      <c r="G23" s="46" t="s">
        <v>764</v>
      </c>
      <c r="H23" s="20" t="s">
        <v>765</v>
      </c>
      <c r="I23" s="20" t="s">
        <v>766</v>
      </c>
      <c r="J23" s="20" t="s">
        <v>767</v>
      </c>
      <c r="K23" s="20" t="s">
        <v>769</v>
      </c>
    </row>
    <row r="24" spans="1:11" ht="13.2">
      <c r="C24" s="43" t="s">
        <v>770</v>
      </c>
      <c r="D24" s="43" t="s">
        <v>771</v>
      </c>
      <c r="E24" s="45" t="b">
        <v>0</v>
      </c>
      <c r="F24" s="45" t="b">
        <v>0</v>
      </c>
      <c r="G24" s="46" t="s">
        <v>743</v>
      </c>
      <c r="H24" s="20" t="s">
        <v>773</v>
      </c>
      <c r="I24" s="20" t="s">
        <v>718</v>
      </c>
      <c r="J24" s="20" t="s">
        <v>774</v>
      </c>
      <c r="K24" s="20" t="s">
        <v>775</v>
      </c>
    </row>
    <row r="25" spans="1:11" ht="13.2">
      <c r="C25" s="43" t="s">
        <v>777</v>
      </c>
      <c r="D25" s="43" t="s">
        <v>778</v>
      </c>
      <c r="E25" s="45" t="b">
        <v>0</v>
      </c>
      <c r="F25" s="45" t="b">
        <v>0</v>
      </c>
      <c r="G25" s="46" t="s">
        <v>530</v>
      </c>
      <c r="H25" s="20" t="s">
        <v>779</v>
      </c>
      <c r="I25" s="20" t="s">
        <v>780</v>
      </c>
      <c r="J25" s="20" t="s">
        <v>781</v>
      </c>
      <c r="K25" s="20" t="s">
        <v>782</v>
      </c>
    </row>
    <row r="26" spans="1:11" ht="13.2">
      <c r="C26" s="67" t="s">
        <v>783</v>
      </c>
      <c r="D26" s="68"/>
      <c r="E26" s="68"/>
      <c r="F26" s="68"/>
      <c r="G26" s="39"/>
      <c r="H26" s="20" t="s">
        <v>867</v>
      </c>
      <c r="I26" s="20" t="s">
        <v>868</v>
      </c>
      <c r="J26" s="20" t="s">
        <v>869</v>
      </c>
      <c r="K26" s="20" t="s">
        <v>870</v>
      </c>
    </row>
    <row r="27" spans="1:11" ht="13.2">
      <c r="C27" s="43" t="s">
        <v>700</v>
      </c>
      <c r="D27" s="43" t="s">
        <v>701</v>
      </c>
      <c r="E27" s="45" t="b">
        <v>0</v>
      </c>
      <c r="F27" s="45" t="b">
        <v>0</v>
      </c>
      <c r="G27" s="39"/>
      <c r="H27" s="20" t="s">
        <v>875</v>
      </c>
      <c r="I27" s="20" t="s">
        <v>593</v>
      </c>
      <c r="J27" s="20" t="s">
        <v>884</v>
      </c>
      <c r="K27" s="20" t="s">
        <v>885</v>
      </c>
    </row>
    <row r="28" spans="1:11" ht="13.2">
      <c r="C28" s="43" t="s">
        <v>691</v>
      </c>
      <c r="D28" s="43" t="s">
        <v>708</v>
      </c>
      <c r="E28" s="49" t="b">
        <v>1</v>
      </c>
      <c r="F28" s="49" t="b">
        <v>1</v>
      </c>
      <c r="G28" s="39"/>
      <c r="H28" s="20" t="s">
        <v>889</v>
      </c>
      <c r="I28" s="20" t="s">
        <v>868</v>
      </c>
      <c r="J28" s="20" t="s">
        <v>892</v>
      </c>
      <c r="K28" s="20" t="s">
        <v>894</v>
      </c>
    </row>
    <row r="29" spans="1:11" ht="13.2">
      <c r="C29" s="43" t="s">
        <v>749</v>
      </c>
      <c r="D29" s="43" t="s">
        <v>751</v>
      </c>
      <c r="E29" s="49" t="b">
        <v>1</v>
      </c>
      <c r="F29" s="45" t="b">
        <v>0</v>
      </c>
      <c r="G29" s="39"/>
      <c r="H29" s="20" t="s">
        <v>899</v>
      </c>
      <c r="I29" s="20" t="s">
        <v>534</v>
      </c>
      <c r="J29" s="20" t="s">
        <v>901</v>
      </c>
      <c r="K29" s="20" t="s">
        <v>903</v>
      </c>
    </row>
    <row r="30" spans="1:11" ht="13.2">
      <c r="C30" s="43" t="s">
        <v>760</v>
      </c>
      <c r="D30" s="43" t="s">
        <v>762</v>
      </c>
      <c r="E30" s="49" t="b">
        <v>1</v>
      </c>
      <c r="F30" s="49" t="b">
        <v>1</v>
      </c>
      <c r="G30" s="39"/>
      <c r="H30" s="20" t="s">
        <v>925</v>
      </c>
      <c r="I30" s="20" t="s">
        <v>718</v>
      </c>
      <c r="J30" s="20" t="s">
        <v>927</v>
      </c>
      <c r="K30" s="20" t="s">
        <v>929</v>
      </c>
    </row>
    <row r="31" spans="1:11" ht="13.2">
      <c r="C31" s="67" t="s">
        <v>930</v>
      </c>
      <c r="D31" s="68"/>
      <c r="E31" s="68"/>
      <c r="F31" s="68"/>
      <c r="G31" s="39"/>
      <c r="H31" s="20" t="s">
        <v>931</v>
      </c>
      <c r="I31" s="20" t="s">
        <v>932</v>
      </c>
      <c r="J31" s="20" t="s">
        <v>933</v>
      </c>
      <c r="K31" s="20" t="s">
        <v>934</v>
      </c>
    </row>
    <row r="32" spans="1:11" ht="13.2">
      <c r="C32" s="43" t="s">
        <v>700</v>
      </c>
      <c r="D32" s="43" t="s">
        <v>701</v>
      </c>
      <c r="E32" s="45" t="b">
        <v>0</v>
      </c>
      <c r="F32" s="45" t="b">
        <v>0</v>
      </c>
      <c r="G32" s="39"/>
      <c r="H32" s="20" t="s">
        <v>938</v>
      </c>
      <c r="I32" s="20" t="s">
        <v>940</v>
      </c>
      <c r="J32" s="20" t="s">
        <v>942</v>
      </c>
      <c r="K32" s="20" t="s">
        <v>944</v>
      </c>
    </row>
    <row r="33" spans="3:11" ht="13.2">
      <c r="C33" s="43" t="s">
        <v>691</v>
      </c>
      <c r="D33" s="43" t="s">
        <v>708</v>
      </c>
      <c r="E33" s="49" t="b">
        <v>1</v>
      </c>
      <c r="F33" s="49" t="b">
        <v>1</v>
      </c>
      <c r="G33" s="39"/>
      <c r="H33" s="20" t="s">
        <v>945</v>
      </c>
      <c r="I33" s="20" t="s">
        <v>951</v>
      </c>
      <c r="J33" s="20" t="s">
        <v>953</v>
      </c>
      <c r="K33" s="20" t="s">
        <v>955</v>
      </c>
    </row>
    <row r="34" spans="3:11" ht="13.2">
      <c r="C34" s="43" t="s">
        <v>749</v>
      </c>
      <c r="D34" s="43" t="s">
        <v>751</v>
      </c>
      <c r="E34" s="49" t="b">
        <v>1</v>
      </c>
      <c r="F34" s="45" t="b">
        <v>0</v>
      </c>
      <c r="G34" s="39"/>
      <c r="H34" s="20" t="s">
        <v>956</v>
      </c>
      <c r="I34" s="20" t="s">
        <v>534</v>
      </c>
      <c r="J34" s="20" t="s">
        <v>957</v>
      </c>
      <c r="K34" s="20" t="s">
        <v>958</v>
      </c>
    </row>
    <row r="35" spans="3:11" ht="13.2">
      <c r="C35" s="43" t="s">
        <v>760</v>
      </c>
      <c r="D35" s="43" t="s">
        <v>762</v>
      </c>
      <c r="E35" s="49" t="b">
        <v>1</v>
      </c>
      <c r="F35" s="49" t="b">
        <v>1</v>
      </c>
      <c r="G35" s="39"/>
      <c r="H35" s="20" t="s">
        <v>959</v>
      </c>
      <c r="I35" s="20" t="s">
        <v>960</v>
      </c>
      <c r="J35" s="20" t="s">
        <v>961</v>
      </c>
      <c r="K35" s="20" t="s">
        <v>962</v>
      </c>
    </row>
    <row r="36" spans="3:11" ht="13.2">
      <c r="C36" s="67" t="s">
        <v>963</v>
      </c>
      <c r="D36" s="68"/>
      <c r="E36" s="68"/>
      <c r="F36" s="68"/>
      <c r="G36" s="39"/>
      <c r="H36" s="20" t="s">
        <v>964</v>
      </c>
      <c r="I36" s="20" t="s">
        <v>965</v>
      </c>
      <c r="J36" s="20" t="s">
        <v>967</v>
      </c>
      <c r="K36" s="20" t="s">
        <v>968</v>
      </c>
    </row>
    <row r="37" spans="3:11" ht="13.2">
      <c r="C37" s="43" t="s">
        <v>700</v>
      </c>
      <c r="D37" s="43" t="s">
        <v>701</v>
      </c>
      <c r="E37" s="45" t="b">
        <v>0</v>
      </c>
      <c r="F37" s="45" t="b">
        <v>0</v>
      </c>
      <c r="G37" s="39"/>
      <c r="H37" s="20" t="s">
        <v>970</v>
      </c>
      <c r="I37" s="20" t="s">
        <v>972</v>
      </c>
      <c r="J37" s="20" t="s">
        <v>974</v>
      </c>
      <c r="K37" s="20" t="s">
        <v>976</v>
      </c>
    </row>
    <row r="38" spans="3:11" ht="13.2">
      <c r="C38" s="43" t="s">
        <v>691</v>
      </c>
      <c r="D38" s="43" t="s">
        <v>708</v>
      </c>
      <c r="E38" s="49" t="b">
        <v>1</v>
      </c>
      <c r="F38" s="49" t="b">
        <v>1</v>
      </c>
      <c r="G38" s="39"/>
    </row>
    <row r="39" spans="3:11" ht="13.2">
      <c r="C39" s="43" t="s">
        <v>749</v>
      </c>
      <c r="D39" s="43" t="s">
        <v>751</v>
      </c>
      <c r="E39" s="49" t="b">
        <v>1</v>
      </c>
      <c r="F39" s="45" t="b">
        <v>0</v>
      </c>
      <c r="G39" s="39"/>
    </row>
    <row r="40" spans="3:11" ht="13.2">
      <c r="C40" s="43" t="s">
        <v>760</v>
      </c>
      <c r="D40" s="43" t="s">
        <v>762</v>
      </c>
      <c r="E40" s="49" t="b">
        <v>1</v>
      </c>
      <c r="F40" s="49" t="b">
        <v>1</v>
      </c>
      <c r="G40" s="39"/>
    </row>
    <row r="41" spans="3:11" ht="13.2">
      <c r="C41" s="43" t="s">
        <v>524</v>
      </c>
      <c r="D41" s="43" t="s">
        <v>525</v>
      </c>
      <c r="E41" s="45" t="b">
        <v>0</v>
      </c>
      <c r="F41" s="45" t="b">
        <v>0</v>
      </c>
      <c r="G41" s="39"/>
    </row>
    <row r="42" spans="3:11" ht="13.2">
      <c r="C42" s="43" t="s">
        <v>539</v>
      </c>
      <c r="D42" s="43" t="s">
        <v>540</v>
      </c>
      <c r="E42" s="45" t="b">
        <v>0</v>
      </c>
      <c r="F42" s="45" t="b">
        <v>0</v>
      </c>
      <c r="G42" s="39"/>
    </row>
    <row r="43" spans="3:11" ht="13.2">
      <c r="C43" s="43" t="s">
        <v>588</v>
      </c>
      <c r="D43" s="43" t="s">
        <v>589</v>
      </c>
      <c r="E43" s="45" t="b">
        <v>0</v>
      </c>
      <c r="F43" s="45" t="b">
        <v>0</v>
      </c>
      <c r="G43" s="39"/>
    </row>
    <row r="44" spans="3:11" ht="13.2">
      <c r="C44" s="43" t="s">
        <v>598</v>
      </c>
      <c r="D44" s="43" t="s">
        <v>599</v>
      </c>
      <c r="E44" s="45" t="b">
        <v>0</v>
      </c>
      <c r="F44" s="45" t="b">
        <v>0</v>
      </c>
      <c r="G44" s="39"/>
    </row>
    <row r="45" spans="3:11" ht="13.2">
      <c r="C45" s="43" t="s">
        <v>607</v>
      </c>
      <c r="D45" s="43" t="s">
        <v>608</v>
      </c>
      <c r="E45" s="45" t="b">
        <v>0</v>
      </c>
      <c r="F45" s="45" t="b">
        <v>0</v>
      </c>
      <c r="G45" s="39"/>
    </row>
    <row r="46" spans="3:11" ht="13.2">
      <c r="C46" s="43" t="s">
        <v>624</v>
      </c>
      <c r="D46" s="43" t="s">
        <v>626</v>
      </c>
      <c r="E46" s="45" t="b">
        <v>0</v>
      </c>
      <c r="F46" s="45" t="b">
        <v>0</v>
      </c>
      <c r="G46" s="39"/>
    </row>
    <row r="47" spans="3:11" ht="13.2">
      <c r="C47" s="43" t="s">
        <v>650</v>
      </c>
      <c r="D47" s="43" t="s">
        <v>651</v>
      </c>
      <c r="E47" s="45" t="b">
        <v>0</v>
      </c>
      <c r="F47" s="45" t="b">
        <v>0</v>
      </c>
      <c r="G47" s="39"/>
    </row>
    <row r="48" spans="3:11" ht="13.2">
      <c r="C48" s="43" t="s">
        <v>666</v>
      </c>
      <c r="D48" s="43" t="s">
        <v>667</v>
      </c>
      <c r="E48" s="45" t="b">
        <v>0</v>
      </c>
      <c r="F48" s="45" t="b">
        <v>0</v>
      </c>
      <c r="G48" s="39"/>
    </row>
    <row r="49" spans="3:7" ht="13.2">
      <c r="C49" s="43" t="s">
        <v>673</v>
      </c>
      <c r="D49" s="43" t="s">
        <v>674</v>
      </c>
      <c r="E49" s="45" t="b">
        <v>0</v>
      </c>
      <c r="F49" s="45" t="b">
        <v>0</v>
      </c>
      <c r="G49" s="39"/>
    </row>
    <row r="50" spans="3:7" ht="13.2">
      <c r="C50" s="43" t="s">
        <v>683</v>
      </c>
      <c r="D50" s="43" t="s">
        <v>684</v>
      </c>
      <c r="E50" s="45" t="b">
        <v>0</v>
      </c>
      <c r="F50" s="45" t="b">
        <v>0</v>
      </c>
      <c r="G50" s="39"/>
    </row>
    <row r="51" spans="3:7" ht="13.2">
      <c r="C51" s="43" t="s">
        <v>692</v>
      </c>
      <c r="D51" s="43" t="s">
        <v>693</v>
      </c>
      <c r="E51" s="45" t="b">
        <v>0</v>
      </c>
      <c r="F51" s="45" t="b">
        <v>0</v>
      </c>
      <c r="G51" s="39"/>
    </row>
    <row r="52" spans="3:7" ht="13.2">
      <c r="C52" s="43" t="s">
        <v>714</v>
      </c>
      <c r="D52" s="43" t="s">
        <v>715</v>
      </c>
      <c r="E52" s="45" t="b">
        <v>0</v>
      </c>
      <c r="F52" s="45" t="b">
        <v>0</v>
      </c>
      <c r="G52" s="39"/>
    </row>
    <row r="53" spans="3:7" ht="13.2">
      <c r="C53" s="43" t="s">
        <v>723</v>
      </c>
      <c r="D53" s="43" t="s">
        <v>725</v>
      </c>
      <c r="E53" s="45" t="b">
        <v>0</v>
      </c>
      <c r="F53" s="45" t="b">
        <v>0</v>
      </c>
      <c r="G53" s="39"/>
    </row>
    <row r="54" spans="3:7" ht="13.2">
      <c r="C54" s="43" t="s">
        <v>732</v>
      </c>
      <c r="D54" s="43" t="s">
        <v>733</v>
      </c>
      <c r="E54" s="45" t="b">
        <v>0</v>
      </c>
      <c r="F54" s="45" t="b">
        <v>0</v>
      </c>
      <c r="G54" s="39"/>
    </row>
    <row r="55" spans="3:7" ht="13.2">
      <c r="C55" s="43" t="s">
        <v>739</v>
      </c>
      <c r="D55" s="43" t="s">
        <v>741</v>
      </c>
      <c r="E55" s="45" t="b">
        <v>0</v>
      </c>
      <c r="F55" s="45" t="b">
        <v>0</v>
      </c>
      <c r="G55" s="39"/>
    </row>
    <row r="56" spans="3:7" ht="13.2">
      <c r="C56" s="43" t="s">
        <v>770</v>
      </c>
      <c r="D56" s="43" t="s">
        <v>771</v>
      </c>
      <c r="E56" s="45" t="b">
        <v>0</v>
      </c>
      <c r="F56" s="45" t="b">
        <v>0</v>
      </c>
      <c r="G56" s="39"/>
    </row>
    <row r="57" spans="3:7" ht="13.2">
      <c r="C57" s="43" t="s">
        <v>777</v>
      </c>
      <c r="D57" s="43" t="s">
        <v>778</v>
      </c>
      <c r="E57" s="45" t="b">
        <v>0</v>
      </c>
      <c r="F57" s="45" t="b">
        <v>0</v>
      </c>
      <c r="G57" s="39"/>
    </row>
    <row r="58" spans="3:7" ht="13.2">
      <c r="C58" s="68"/>
      <c r="D58" s="68"/>
      <c r="E58" s="68"/>
      <c r="F58" s="68"/>
      <c r="G58" s="39"/>
    </row>
    <row r="59" spans="3:7" ht="13.2">
      <c r="C59" s="68"/>
      <c r="D59" s="68"/>
      <c r="E59" s="68"/>
      <c r="F59" s="68"/>
      <c r="G59" s="39"/>
    </row>
    <row r="60" spans="3:7" ht="13.2">
      <c r="C60" s="71"/>
      <c r="D60" s="71"/>
      <c r="E60" s="71"/>
      <c r="F60" s="71"/>
      <c r="G60" s="39"/>
    </row>
    <row r="61" spans="3:7" ht="13.2">
      <c r="C61" s="71"/>
      <c r="D61" s="71"/>
      <c r="E61" s="71"/>
      <c r="F61" s="71"/>
      <c r="G61" s="39"/>
    </row>
    <row r="62" spans="3:7" ht="13.2">
      <c r="C62" s="71"/>
      <c r="D62" s="71"/>
      <c r="E62" s="71"/>
      <c r="F62" s="71"/>
      <c r="G62" s="39"/>
    </row>
    <row r="63" spans="3:7" ht="13.2">
      <c r="C63" s="71"/>
      <c r="D63" s="71"/>
      <c r="E63" s="71"/>
      <c r="F63" s="71"/>
      <c r="G63" s="39"/>
    </row>
    <row r="64" spans="3:7" ht="13.2">
      <c r="C64" s="71"/>
      <c r="D64" s="71"/>
      <c r="E64" s="71"/>
      <c r="F64" s="71"/>
      <c r="G64" s="39"/>
    </row>
    <row r="65" spans="3:7" ht="13.2">
      <c r="C65" s="71"/>
      <c r="D65" s="71"/>
      <c r="E65" s="71"/>
      <c r="F65" s="71"/>
      <c r="G65" s="39"/>
    </row>
    <row r="66" spans="3:7" ht="13.2">
      <c r="C66" s="71"/>
      <c r="D66" s="71"/>
      <c r="E66" s="71"/>
      <c r="F66" s="71"/>
      <c r="G66" s="39"/>
    </row>
    <row r="67" spans="3:7" ht="13.2">
      <c r="C67" s="71"/>
      <c r="D67" s="71"/>
      <c r="E67" s="71"/>
      <c r="F67" s="71"/>
      <c r="G67" s="39"/>
    </row>
    <row r="68" spans="3:7" ht="13.2">
      <c r="C68" s="71"/>
      <c r="D68" s="71"/>
      <c r="E68" s="71"/>
      <c r="F68" s="71"/>
      <c r="G68" s="39"/>
    </row>
    <row r="69" spans="3:7" ht="13.2">
      <c r="C69" s="71"/>
      <c r="D69" s="71"/>
      <c r="E69" s="71"/>
      <c r="F69" s="71"/>
      <c r="G69" s="39"/>
    </row>
    <row r="70" spans="3:7" ht="13.2">
      <c r="C70" s="71"/>
      <c r="D70" s="71"/>
      <c r="E70" s="71"/>
      <c r="F70" s="71"/>
      <c r="G70" s="39"/>
    </row>
    <row r="71" spans="3:7" ht="13.2">
      <c r="C71" s="71"/>
      <c r="D71" s="71"/>
      <c r="E71" s="71"/>
      <c r="F71" s="71"/>
      <c r="G71" s="39"/>
    </row>
    <row r="72" spans="3:7" ht="13.2">
      <c r="C72" s="71"/>
      <c r="D72" s="71"/>
      <c r="E72" s="71"/>
      <c r="F72" s="71"/>
      <c r="G72" s="39"/>
    </row>
    <row r="73" spans="3:7" ht="13.2">
      <c r="C73" s="71"/>
      <c r="D73" s="71"/>
      <c r="E73" s="71"/>
      <c r="F73" s="71"/>
      <c r="G73" s="39"/>
    </row>
    <row r="74" spans="3:7" ht="13.2">
      <c r="C74" s="71"/>
      <c r="D74" s="71"/>
      <c r="E74" s="71"/>
      <c r="F74" s="71"/>
      <c r="G74" s="39"/>
    </row>
    <row r="75" spans="3:7" ht="13.2">
      <c r="C75" s="71"/>
      <c r="D75" s="71"/>
      <c r="E75" s="71"/>
      <c r="F75" s="71"/>
      <c r="G75" s="39"/>
    </row>
    <row r="76" spans="3:7" ht="13.2">
      <c r="C76" s="71"/>
      <c r="D76" s="71"/>
      <c r="E76" s="71"/>
      <c r="F76" s="71"/>
      <c r="G76" s="39"/>
    </row>
    <row r="77" spans="3:7" ht="13.2">
      <c r="C77" s="71"/>
      <c r="D77" s="71"/>
      <c r="E77" s="71"/>
      <c r="F77" s="71"/>
      <c r="G77" s="39"/>
    </row>
    <row r="78" spans="3:7" ht="13.2">
      <c r="C78" s="71"/>
      <c r="D78" s="71"/>
      <c r="E78" s="71"/>
      <c r="F78" s="71"/>
      <c r="G78" s="39"/>
    </row>
    <row r="79" spans="3:7" ht="13.2">
      <c r="C79" s="71"/>
      <c r="D79" s="71"/>
      <c r="E79" s="71"/>
      <c r="F79" s="71"/>
      <c r="G79" s="39"/>
    </row>
    <row r="80" spans="3:7" ht="13.2">
      <c r="C80" s="71"/>
      <c r="D80" s="71"/>
      <c r="E80" s="71"/>
      <c r="F80" s="71"/>
      <c r="G80" s="39"/>
    </row>
    <row r="81" spans="3:7" ht="13.2">
      <c r="C81" s="71"/>
      <c r="D81" s="71"/>
      <c r="E81" s="71"/>
      <c r="F81" s="71"/>
      <c r="G81" s="39"/>
    </row>
    <row r="82" spans="3:7" ht="13.2">
      <c r="C82" s="71"/>
      <c r="D82" s="71"/>
      <c r="E82" s="71"/>
      <c r="F82" s="71"/>
      <c r="G82" s="39"/>
    </row>
    <row r="83" spans="3:7" ht="13.2">
      <c r="C83" s="71"/>
      <c r="D83" s="71"/>
      <c r="E83" s="71"/>
      <c r="F83" s="71"/>
      <c r="G83" s="39"/>
    </row>
    <row r="84" spans="3:7" ht="13.2">
      <c r="C84" s="71"/>
      <c r="D84" s="71"/>
      <c r="E84" s="71"/>
      <c r="F84" s="71"/>
      <c r="G84" s="39"/>
    </row>
    <row r="85" spans="3:7" ht="13.2">
      <c r="C85" s="71"/>
      <c r="D85" s="71"/>
      <c r="E85" s="71"/>
      <c r="F85" s="71"/>
      <c r="G85" s="39"/>
    </row>
    <row r="86" spans="3:7" ht="13.2">
      <c r="C86" s="71"/>
      <c r="D86" s="71"/>
      <c r="E86" s="71"/>
      <c r="F86" s="71"/>
      <c r="G86" s="39"/>
    </row>
    <row r="87" spans="3:7" ht="13.2">
      <c r="C87" s="71"/>
      <c r="D87" s="71"/>
      <c r="E87" s="71"/>
      <c r="F87" s="71"/>
      <c r="G87" s="39"/>
    </row>
    <row r="88" spans="3:7" ht="13.2">
      <c r="C88" s="71"/>
      <c r="D88" s="71"/>
      <c r="E88" s="71"/>
      <c r="F88" s="71"/>
      <c r="G88" s="39"/>
    </row>
    <row r="89" spans="3:7" ht="13.2">
      <c r="C89" s="71"/>
      <c r="D89" s="71"/>
      <c r="E89" s="71"/>
      <c r="F89" s="71"/>
      <c r="G89" s="39"/>
    </row>
    <row r="90" spans="3:7" ht="13.2">
      <c r="C90" s="71"/>
      <c r="D90" s="71"/>
      <c r="E90" s="71"/>
      <c r="F90" s="71"/>
      <c r="G90" s="39"/>
    </row>
    <row r="91" spans="3:7" ht="13.2">
      <c r="C91" s="71"/>
      <c r="D91" s="71"/>
      <c r="E91" s="71"/>
      <c r="F91" s="71"/>
      <c r="G91" s="39"/>
    </row>
    <row r="92" spans="3:7" ht="13.2">
      <c r="C92" s="71"/>
      <c r="D92" s="71"/>
      <c r="E92" s="71"/>
      <c r="F92" s="71"/>
      <c r="G92" s="39"/>
    </row>
    <row r="93" spans="3:7" ht="13.2">
      <c r="C93" s="71"/>
      <c r="D93" s="71"/>
      <c r="E93" s="71"/>
      <c r="F93" s="71"/>
      <c r="G93" s="39"/>
    </row>
    <row r="94" spans="3:7" ht="13.2">
      <c r="C94" s="71"/>
      <c r="D94" s="71"/>
      <c r="E94" s="71"/>
      <c r="F94" s="71"/>
      <c r="G94" s="39"/>
    </row>
    <row r="95" spans="3:7" ht="13.2">
      <c r="C95" s="71"/>
      <c r="D95" s="71"/>
      <c r="E95" s="71"/>
      <c r="F95" s="71"/>
      <c r="G95" s="39"/>
    </row>
    <row r="96" spans="3:7" ht="13.2">
      <c r="C96" s="71"/>
      <c r="D96" s="71"/>
      <c r="E96" s="71"/>
      <c r="F96" s="71"/>
      <c r="G96" s="39"/>
    </row>
    <row r="97" spans="3:7" ht="13.2">
      <c r="C97" s="71"/>
      <c r="D97" s="71"/>
      <c r="E97" s="71"/>
      <c r="F97" s="71"/>
      <c r="G97" s="39"/>
    </row>
    <row r="98" spans="3:7" ht="13.2">
      <c r="C98" s="71"/>
      <c r="D98" s="71"/>
      <c r="E98" s="71"/>
      <c r="F98" s="71"/>
      <c r="G98" s="39"/>
    </row>
    <row r="99" spans="3:7" ht="13.2">
      <c r="C99" s="71"/>
      <c r="D99" s="71"/>
      <c r="E99" s="71"/>
      <c r="F99" s="71"/>
      <c r="G99" s="39"/>
    </row>
    <row r="100" spans="3:7" ht="13.2">
      <c r="C100" s="71"/>
      <c r="D100" s="71"/>
      <c r="E100" s="71"/>
      <c r="F100" s="71"/>
      <c r="G100" s="39"/>
    </row>
    <row r="101" spans="3:7" ht="13.2">
      <c r="G101" s="39"/>
    </row>
    <row r="102" spans="3:7" ht="13.2">
      <c r="G102" s="39"/>
    </row>
    <row r="103" spans="3:7" ht="13.2">
      <c r="G103" s="39"/>
    </row>
    <row r="104" spans="3:7" ht="13.2">
      <c r="G104" s="39"/>
    </row>
    <row r="105" spans="3:7" ht="13.2">
      <c r="G105" s="39"/>
    </row>
    <row r="106" spans="3:7" ht="13.2">
      <c r="G106" s="39"/>
    </row>
    <row r="107" spans="3:7" ht="13.2">
      <c r="G107" s="39"/>
    </row>
    <row r="108" spans="3:7" ht="13.2">
      <c r="G108" s="39"/>
    </row>
    <row r="109" spans="3:7" ht="13.2">
      <c r="G109" s="39"/>
    </row>
    <row r="110" spans="3:7" ht="13.2">
      <c r="G110" s="39"/>
    </row>
    <row r="111" spans="3:7" ht="13.2">
      <c r="G111" s="39"/>
    </row>
    <row r="112" spans="3:7" ht="13.2">
      <c r="G112" s="39"/>
    </row>
    <row r="113" spans="7:7" ht="13.2">
      <c r="G113" s="39"/>
    </row>
    <row r="114" spans="7:7" ht="13.2">
      <c r="G114" s="39"/>
    </row>
    <row r="115" spans="7:7" ht="13.2">
      <c r="G115" s="39"/>
    </row>
    <row r="116" spans="7:7" ht="13.2">
      <c r="G116" s="39"/>
    </row>
    <row r="117" spans="7:7" ht="13.2">
      <c r="G117" s="39"/>
    </row>
    <row r="118" spans="7:7" ht="13.2">
      <c r="G118" s="39"/>
    </row>
    <row r="119" spans="7:7" ht="13.2">
      <c r="G119" s="39"/>
    </row>
    <row r="120" spans="7:7" ht="13.2">
      <c r="G120" s="39"/>
    </row>
    <row r="121" spans="7:7" ht="13.2">
      <c r="G121" s="39"/>
    </row>
    <row r="122" spans="7:7" ht="13.2">
      <c r="G122" s="39"/>
    </row>
    <row r="123" spans="7:7" ht="13.2">
      <c r="G123" s="39"/>
    </row>
    <row r="124" spans="7:7" ht="13.2">
      <c r="G124" s="39"/>
    </row>
    <row r="125" spans="7:7" ht="13.2">
      <c r="G125" s="39"/>
    </row>
    <row r="126" spans="7:7" ht="13.2">
      <c r="G126" s="39"/>
    </row>
    <row r="127" spans="7:7" ht="13.2">
      <c r="G127" s="39"/>
    </row>
    <row r="128" spans="7:7" ht="13.2">
      <c r="G128" s="39"/>
    </row>
    <row r="129" spans="7:7" ht="13.2">
      <c r="G129" s="39"/>
    </row>
    <row r="130" spans="7:7" ht="13.2">
      <c r="G130" s="39"/>
    </row>
    <row r="131" spans="7:7" ht="13.2">
      <c r="G131" s="39"/>
    </row>
    <row r="132" spans="7:7" ht="13.2">
      <c r="G132" s="39"/>
    </row>
    <row r="133" spans="7:7" ht="13.2">
      <c r="G133" s="39"/>
    </row>
    <row r="134" spans="7:7" ht="13.2">
      <c r="G134" s="39"/>
    </row>
    <row r="135" spans="7:7" ht="13.2">
      <c r="G135" s="39"/>
    </row>
    <row r="136" spans="7:7" ht="13.2">
      <c r="G136" s="39"/>
    </row>
    <row r="137" spans="7:7" ht="13.2">
      <c r="G137" s="39"/>
    </row>
    <row r="138" spans="7:7" ht="13.2">
      <c r="G138" s="39"/>
    </row>
    <row r="139" spans="7:7" ht="13.2">
      <c r="G139" s="39"/>
    </row>
    <row r="140" spans="7:7" ht="13.2">
      <c r="G140" s="39"/>
    </row>
    <row r="141" spans="7:7" ht="13.2">
      <c r="G141" s="39"/>
    </row>
    <row r="142" spans="7:7" ht="13.2">
      <c r="G142" s="39"/>
    </row>
    <row r="143" spans="7:7" ht="13.2">
      <c r="G143" s="39"/>
    </row>
    <row r="144" spans="7:7" ht="13.2">
      <c r="G144" s="39"/>
    </row>
    <row r="145" spans="7:7" ht="13.2">
      <c r="G145" s="39"/>
    </row>
    <row r="146" spans="7:7" ht="13.2">
      <c r="G146" s="39"/>
    </row>
    <row r="147" spans="7:7" ht="13.2">
      <c r="G147" s="39"/>
    </row>
    <row r="148" spans="7:7" ht="13.2">
      <c r="G148" s="39"/>
    </row>
    <row r="149" spans="7:7" ht="13.2">
      <c r="G149" s="39"/>
    </row>
    <row r="150" spans="7:7" ht="13.2">
      <c r="G150" s="39"/>
    </row>
    <row r="151" spans="7:7" ht="13.2">
      <c r="G151" s="39"/>
    </row>
    <row r="152" spans="7:7" ht="13.2">
      <c r="G152" s="39"/>
    </row>
    <row r="153" spans="7:7" ht="13.2">
      <c r="G153" s="39"/>
    </row>
    <row r="154" spans="7:7" ht="13.2">
      <c r="G154" s="39"/>
    </row>
    <row r="155" spans="7:7" ht="13.2">
      <c r="G155" s="39"/>
    </row>
    <row r="156" spans="7:7" ht="13.2">
      <c r="G156" s="39"/>
    </row>
    <row r="157" spans="7:7" ht="13.2">
      <c r="G157" s="39"/>
    </row>
    <row r="158" spans="7:7" ht="13.2">
      <c r="G158" s="39"/>
    </row>
    <row r="159" spans="7:7" ht="13.2">
      <c r="G159" s="39"/>
    </row>
    <row r="160" spans="7:7" ht="13.2">
      <c r="G160" s="39"/>
    </row>
    <row r="161" spans="7:7" ht="13.2">
      <c r="G161" s="39"/>
    </row>
    <row r="162" spans="7:7" ht="13.2">
      <c r="G162" s="39"/>
    </row>
    <row r="163" spans="7:7" ht="13.2">
      <c r="G163" s="39"/>
    </row>
    <row r="164" spans="7:7" ht="13.2">
      <c r="G164" s="39"/>
    </row>
    <row r="165" spans="7:7" ht="13.2">
      <c r="G165" s="39"/>
    </row>
    <row r="166" spans="7:7" ht="13.2">
      <c r="G166" s="39"/>
    </row>
    <row r="167" spans="7:7" ht="13.2">
      <c r="G167" s="39"/>
    </row>
    <row r="168" spans="7:7" ht="13.2">
      <c r="G168" s="39"/>
    </row>
    <row r="169" spans="7:7" ht="13.2">
      <c r="G169" s="39"/>
    </row>
    <row r="170" spans="7:7" ht="13.2">
      <c r="G170" s="39"/>
    </row>
    <row r="171" spans="7:7" ht="13.2">
      <c r="G171" s="39"/>
    </row>
    <row r="172" spans="7:7" ht="13.2">
      <c r="G172" s="39"/>
    </row>
    <row r="173" spans="7:7" ht="13.2">
      <c r="G173" s="39"/>
    </row>
    <row r="174" spans="7:7" ht="13.2">
      <c r="G174" s="39"/>
    </row>
    <row r="175" spans="7:7" ht="13.2">
      <c r="G175" s="39"/>
    </row>
    <row r="176" spans="7:7" ht="13.2">
      <c r="G176" s="39"/>
    </row>
    <row r="177" spans="7:7" ht="13.2">
      <c r="G177" s="39"/>
    </row>
    <row r="178" spans="7:7" ht="13.2">
      <c r="G178" s="39"/>
    </row>
    <row r="179" spans="7:7" ht="13.2">
      <c r="G179" s="39"/>
    </row>
    <row r="180" spans="7:7" ht="13.2">
      <c r="G180" s="39"/>
    </row>
    <row r="181" spans="7:7" ht="13.2">
      <c r="G181" s="39"/>
    </row>
    <row r="182" spans="7:7" ht="13.2">
      <c r="G182" s="39"/>
    </row>
    <row r="183" spans="7:7" ht="13.2">
      <c r="G183" s="39"/>
    </row>
    <row r="184" spans="7:7" ht="13.2">
      <c r="G184" s="39"/>
    </row>
    <row r="185" spans="7:7" ht="13.2">
      <c r="G185" s="39"/>
    </row>
    <row r="186" spans="7:7" ht="13.2">
      <c r="G186" s="39"/>
    </row>
    <row r="187" spans="7:7" ht="13.2">
      <c r="G187" s="39"/>
    </row>
    <row r="188" spans="7:7" ht="13.2">
      <c r="G188" s="39"/>
    </row>
    <row r="189" spans="7:7" ht="13.2">
      <c r="G189" s="39"/>
    </row>
    <row r="190" spans="7:7" ht="13.2">
      <c r="G190" s="39"/>
    </row>
    <row r="191" spans="7:7" ht="13.2">
      <c r="G191" s="39"/>
    </row>
    <row r="192" spans="7:7" ht="13.2">
      <c r="G192" s="39"/>
    </row>
    <row r="193" spans="7:7" ht="13.2">
      <c r="G193" s="39"/>
    </row>
    <row r="194" spans="7:7" ht="13.2">
      <c r="G194" s="39"/>
    </row>
    <row r="195" spans="7:7" ht="13.2">
      <c r="G195" s="39"/>
    </row>
    <row r="196" spans="7:7" ht="13.2">
      <c r="G196" s="39"/>
    </row>
    <row r="197" spans="7:7" ht="13.2">
      <c r="G197" s="39"/>
    </row>
    <row r="198" spans="7:7" ht="13.2">
      <c r="G198" s="39"/>
    </row>
    <row r="199" spans="7:7" ht="13.2">
      <c r="G199" s="39"/>
    </row>
    <row r="200" spans="7:7" ht="13.2">
      <c r="G200" s="39"/>
    </row>
    <row r="201" spans="7:7" ht="13.2">
      <c r="G201" s="39"/>
    </row>
    <row r="202" spans="7:7" ht="13.2">
      <c r="G202" s="39"/>
    </row>
    <row r="203" spans="7:7" ht="13.2">
      <c r="G203" s="39"/>
    </row>
    <row r="204" spans="7:7" ht="13.2">
      <c r="G204" s="39"/>
    </row>
    <row r="205" spans="7:7" ht="13.2">
      <c r="G205" s="39"/>
    </row>
    <row r="206" spans="7:7" ht="13.2">
      <c r="G206" s="39"/>
    </row>
    <row r="207" spans="7:7" ht="13.2">
      <c r="G207" s="39"/>
    </row>
    <row r="208" spans="7:7" ht="13.2">
      <c r="G208" s="39"/>
    </row>
    <row r="209" spans="7:7" ht="13.2">
      <c r="G209" s="39"/>
    </row>
    <row r="210" spans="7:7" ht="13.2">
      <c r="G210" s="39"/>
    </row>
    <row r="211" spans="7:7" ht="13.2">
      <c r="G211" s="39"/>
    </row>
    <row r="212" spans="7:7" ht="13.2">
      <c r="G212" s="39"/>
    </row>
    <row r="213" spans="7:7" ht="13.2">
      <c r="G213" s="39"/>
    </row>
    <row r="214" spans="7:7" ht="13.2">
      <c r="G214" s="39"/>
    </row>
    <row r="215" spans="7:7" ht="13.2">
      <c r="G215" s="39"/>
    </row>
    <row r="216" spans="7:7" ht="13.2">
      <c r="G216" s="39"/>
    </row>
    <row r="217" spans="7:7" ht="13.2">
      <c r="G217" s="39"/>
    </row>
    <row r="218" spans="7:7" ht="13.2">
      <c r="G218" s="39"/>
    </row>
    <row r="219" spans="7:7" ht="13.2">
      <c r="G219" s="39"/>
    </row>
    <row r="220" spans="7:7" ht="13.2">
      <c r="G220" s="39"/>
    </row>
    <row r="221" spans="7:7" ht="13.2">
      <c r="G221" s="39"/>
    </row>
    <row r="222" spans="7:7" ht="13.2">
      <c r="G222" s="39"/>
    </row>
    <row r="223" spans="7:7" ht="13.2">
      <c r="G223" s="39"/>
    </row>
    <row r="224" spans="7:7" ht="13.2">
      <c r="G224" s="39"/>
    </row>
    <row r="225" spans="7:7" ht="13.2">
      <c r="G225" s="39"/>
    </row>
    <row r="226" spans="7:7" ht="13.2">
      <c r="G226" s="39"/>
    </row>
    <row r="227" spans="7:7" ht="13.2">
      <c r="G227" s="39"/>
    </row>
    <row r="228" spans="7:7" ht="13.2">
      <c r="G228" s="39"/>
    </row>
    <row r="229" spans="7:7" ht="13.2">
      <c r="G229" s="39"/>
    </row>
    <row r="230" spans="7:7" ht="13.2">
      <c r="G230" s="39"/>
    </row>
    <row r="231" spans="7:7" ht="13.2">
      <c r="G231" s="39"/>
    </row>
    <row r="232" spans="7:7" ht="13.2">
      <c r="G232" s="39"/>
    </row>
    <row r="233" spans="7:7" ht="13.2">
      <c r="G233" s="39"/>
    </row>
    <row r="234" spans="7:7" ht="13.2">
      <c r="G234" s="39"/>
    </row>
    <row r="235" spans="7:7" ht="13.2">
      <c r="G235" s="39"/>
    </row>
    <row r="236" spans="7:7" ht="13.2">
      <c r="G236" s="39"/>
    </row>
    <row r="237" spans="7:7" ht="13.2">
      <c r="G237" s="39"/>
    </row>
    <row r="238" spans="7:7" ht="13.2">
      <c r="G238" s="39"/>
    </row>
    <row r="239" spans="7:7" ht="13.2">
      <c r="G239" s="39"/>
    </row>
    <row r="240" spans="7:7" ht="13.2">
      <c r="G240" s="39"/>
    </row>
    <row r="241" spans="7:7" ht="13.2">
      <c r="G241" s="39"/>
    </row>
    <row r="242" spans="7:7" ht="13.2">
      <c r="G242" s="39"/>
    </row>
    <row r="243" spans="7:7" ht="13.2">
      <c r="G243" s="39"/>
    </row>
    <row r="244" spans="7:7" ht="13.2">
      <c r="G244" s="39"/>
    </row>
    <row r="245" spans="7:7" ht="13.2">
      <c r="G245" s="39"/>
    </row>
    <row r="246" spans="7:7" ht="13.2">
      <c r="G246" s="39"/>
    </row>
    <row r="247" spans="7:7" ht="13.2">
      <c r="G247" s="39"/>
    </row>
    <row r="248" spans="7:7" ht="13.2">
      <c r="G248" s="39"/>
    </row>
    <row r="249" spans="7:7" ht="13.2">
      <c r="G249" s="39"/>
    </row>
    <row r="250" spans="7:7" ht="13.2">
      <c r="G250" s="39"/>
    </row>
    <row r="251" spans="7:7" ht="13.2">
      <c r="G251" s="39"/>
    </row>
    <row r="252" spans="7:7" ht="13.2">
      <c r="G252" s="39"/>
    </row>
    <row r="253" spans="7:7" ht="13.2">
      <c r="G253" s="39"/>
    </row>
    <row r="254" spans="7:7" ht="13.2">
      <c r="G254" s="39"/>
    </row>
    <row r="255" spans="7:7" ht="13.2">
      <c r="G255" s="39"/>
    </row>
    <row r="256" spans="7:7" ht="13.2">
      <c r="G256" s="39"/>
    </row>
    <row r="257" spans="7:7" ht="13.2">
      <c r="G257" s="39"/>
    </row>
    <row r="258" spans="7:7" ht="13.2">
      <c r="G258" s="39"/>
    </row>
    <row r="259" spans="7:7" ht="13.2">
      <c r="G259" s="39"/>
    </row>
    <row r="260" spans="7:7" ht="13.2">
      <c r="G260" s="39"/>
    </row>
    <row r="261" spans="7:7" ht="13.2">
      <c r="G261" s="39"/>
    </row>
    <row r="262" spans="7:7" ht="13.2">
      <c r="G262" s="39"/>
    </row>
    <row r="263" spans="7:7" ht="13.2">
      <c r="G263" s="39"/>
    </row>
    <row r="264" spans="7:7" ht="13.2">
      <c r="G264" s="39"/>
    </row>
    <row r="265" spans="7:7" ht="13.2">
      <c r="G265" s="39"/>
    </row>
    <row r="266" spans="7:7" ht="13.2">
      <c r="G266" s="39"/>
    </row>
    <row r="267" spans="7:7" ht="13.2">
      <c r="G267" s="39"/>
    </row>
    <row r="268" spans="7:7" ht="13.2">
      <c r="G268" s="39"/>
    </row>
    <row r="269" spans="7:7" ht="13.2">
      <c r="G269" s="39"/>
    </row>
    <row r="270" spans="7:7" ht="13.2">
      <c r="G270" s="39"/>
    </row>
    <row r="271" spans="7:7" ht="13.2">
      <c r="G271" s="39"/>
    </row>
    <row r="272" spans="7:7" ht="13.2">
      <c r="G272" s="39"/>
    </row>
    <row r="273" spans="7:7" ht="13.2">
      <c r="G273" s="39"/>
    </row>
    <row r="274" spans="7:7" ht="13.2">
      <c r="G274" s="39"/>
    </row>
    <row r="275" spans="7:7" ht="13.2">
      <c r="G275" s="39"/>
    </row>
    <row r="276" spans="7:7" ht="13.2">
      <c r="G276" s="39"/>
    </row>
    <row r="277" spans="7:7" ht="13.2">
      <c r="G277" s="39"/>
    </row>
    <row r="278" spans="7:7" ht="13.2">
      <c r="G278" s="39"/>
    </row>
    <row r="279" spans="7:7" ht="13.2">
      <c r="G279" s="39"/>
    </row>
    <row r="280" spans="7:7" ht="13.2">
      <c r="G280" s="39"/>
    </row>
    <row r="281" spans="7:7" ht="13.2">
      <c r="G281" s="39"/>
    </row>
    <row r="282" spans="7:7" ht="13.2">
      <c r="G282" s="39"/>
    </row>
    <row r="283" spans="7:7" ht="13.2">
      <c r="G283" s="39"/>
    </row>
    <row r="284" spans="7:7" ht="13.2">
      <c r="G284" s="39"/>
    </row>
    <row r="285" spans="7:7" ht="13.2">
      <c r="G285" s="39"/>
    </row>
    <row r="286" spans="7:7" ht="13.2">
      <c r="G286" s="39"/>
    </row>
    <row r="287" spans="7:7" ht="13.2">
      <c r="G287" s="39"/>
    </row>
    <row r="288" spans="7:7" ht="13.2">
      <c r="G288" s="39"/>
    </row>
    <row r="289" spans="7:7" ht="13.2">
      <c r="G289" s="39"/>
    </row>
    <row r="290" spans="7:7" ht="13.2">
      <c r="G290" s="39"/>
    </row>
    <row r="291" spans="7:7" ht="13.2">
      <c r="G291" s="39"/>
    </row>
    <row r="292" spans="7:7" ht="13.2">
      <c r="G292" s="39"/>
    </row>
    <row r="293" spans="7:7" ht="13.2">
      <c r="G293" s="39"/>
    </row>
    <row r="294" spans="7:7" ht="13.2">
      <c r="G294" s="39"/>
    </row>
    <row r="295" spans="7:7" ht="13.2">
      <c r="G295" s="39"/>
    </row>
    <row r="296" spans="7:7" ht="13.2">
      <c r="G296" s="39"/>
    </row>
    <row r="297" spans="7:7" ht="13.2">
      <c r="G297" s="39"/>
    </row>
    <row r="298" spans="7:7" ht="13.2">
      <c r="G298" s="39"/>
    </row>
    <row r="299" spans="7:7" ht="13.2">
      <c r="G299" s="39"/>
    </row>
    <row r="300" spans="7:7" ht="13.2">
      <c r="G300" s="39"/>
    </row>
    <row r="301" spans="7:7" ht="13.2">
      <c r="G301" s="39"/>
    </row>
    <row r="302" spans="7:7" ht="13.2">
      <c r="G302" s="39"/>
    </row>
    <row r="303" spans="7:7" ht="13.2">
      <c r="G303" s="39"/>
    </row>
    <row r="304" spans="7:7" ht="13.2">
      <c r="G304" s="39"/>
    </row>
    <row r="305" spans="7:7" ht="13.2">
      <c r="G305" s="39"/>
    </row>
    <row r="306" spans="7:7" ht="13.2">
      <c r="G306" s="39"/>
    </row>
    <row r="307" spans="7:7" ht="13.2">
      <c r="G307" s="39"/>
    </row>
    <row r="308" spans="7:7" ht="13.2">
      <c r="G308" s="39"/>
    </row>
    <row r="309" spans="7:7" ht="13.2">
      <c r="G309" s="39"/>
    </row>
    <row r="310" spans="7:7" ht="13.2">
      <c r="G310" s="39"/>
    </row>
    <row r="311" spans="7:7" ht="13.2">
      <c r="G311" s="39"/>
    </row>
    <row r="312" spans="7:7" ht="13.2">
      <c r="G312" s="39"/>
    </row>
    <row r="313" spans="7:7" ht="13.2">
      <c r="G313" s="39"/>
    </row>
    <row r="314" spans="7:7" ht="13.2">
      <c r="G314" s="39"/>
    </row>
    <row r="315" spans="7:7" ht="13.2">
      <c r="G315" s="39"/>
    </row>
    <row r="316" spans="7:7" ht="13.2">
      <c r="G316" s="39"/>
    </row>
    <row r="317" spans="7:7" ht="13.2">
      <c r="G317" s="39"/>
    </row>
    <row r="318" spans="7:7" ht="13.2">
      <c r="G318" s="39"/>
    </row>
    <row r="319" spans="7:7" ht="13.2">
      <c r="G319" s="39"/>
    </row>
    <row r="320" spans="7:7" ht="13.2">
      <c r="G320" s="39"/>
    </row>
    <row r="321" spans="7:7" ht="13.2">
      <c r="G321" s="39"/>
    </row>
    <row r="322" spans="7:7" ht="13.2">
      <c r="G322" s="39"/>
    </row>
    <row r="323" spans="7:7" ht="13.2">
      <c r="G323" s="39"/>
    </row>
    <row r="324" spans="7:7" ht="13.2">
      <c r="G324" s="39"/>
    </row>
    <row r="325" spans="7:7" ht="13.2">
      <c r="G325" s="39"/>
    </row>
    <row r="326" spans="7:7" ht="13.2">
      <c r="G326" s="39"/>
    </row>
    <row r="327" spans="7:7" ht="13.2">
      <c r="G327" s="39"/>
    </row>
    <row r="328" spans="7:7" ht="13.2">
      <c r="G328" s="39"/>
    </row>
    <row r="329" spans="7:7" ht="13.2">
      <c r="G329" s="39"/>
    </row>
    <row r="330" spans="7:7" ht="13.2">
      <c r="G330" s="39"/>
    </row>
    <row r="331" spans="7:7" ht="13.2">
      <c r="G331" s="39"/>
    </row>
    <row r="332" spans="7:7" ht="13.2">
      <c r="G332" s="39"/>
    </row>
    <row r="333" spans="7:7" ht="13.2">
      <c r="G333" s="39"/>
    </row>
    <row r="334" spans="7:7" ht="13.2">
      <c r="G334" s="39"/>
    </row>
    <row r="335" spans="7:7" ht="13.2">
      <c r="G335" s="39"/>
    </row>
    <row r="336" spans="7:7" ht="13.2">
      <c r="G336" s="39"/>
    </row>
    <row r="337" spans="7:7" ht="13.2">
      <c r="G337" s="39"/>
    </row>
    <row r="338" spans="7:7" ht="13.2">
      <c r="G338" s="39"/>
    </row>
    <row r="339" spans="7:7" ht="13.2">
      <c r="G339" s="39"/>
    </row>
    <row r="340" spans="7:7" ht="13.2">
      <c r="G340" s="39"/>
    </row>
    <row r="341" spans="7:7" ht="13.2">
      <c r="G341" s="39"/>
    </row>
    <row r="342" spans="7:7" ht="13.2">
      <c r="G342" s="39"/>
    </row>
    <row r="343" spans="7:7" ht="13.2">
      <c r="G343" s="39"/>
    </row>
    <row r="344" spans="7:7" ht="13.2">
      <c r="G344" s="39"/>
    </row>
    <row r="345" spans="7:7" ht="13.2">
      <c r="G345" s="39"/>
    </row>
    <row r="346" spans="7:7" ht="13.2">
      <c r="G346" s="39"/>
    </row>
    <row r="347" spans="7:7" ht="13.2">
      <c r="G347" s="39"/>
    </row>
    <row r="348" spans="7:7" ht="13.2">
      <c r="G348" s="39"/>
    </row>
    <row r="349" spans="7:7" ht="13.2">
      <c r="G349" s="39"/>
    </row>
    <row r="350" spans="7:7" ht="13.2">
      <c r="G350" s="39"/>
    </row>
    <row r="351" spans="7:7" ht="13.2">
      <c r="G351" s="39"/>
    </row>
    <row r="352" spans="7:7" ht="13.2">
      <c r="G352" s="39"/>
    </row>
    <row r="353" spans="7:7" ht="13.2">
      <c r="G353" s="39"/>
    </row>
    <row r="354" spans="7:7" ht="13.2">
      <c r="G354" s="39"/>
    </row>
    <row r="355" spans="7:7" ht="13.2">
      <c r="G355" s="39"/>
    </row>
    <row r="356" spans="7:7" ht="13.2">
      <c r="G356" s="39"/>
    </row>
    <row r="357" spans="7:7" ht="13.2">
      <c r="G357" s="39"/>
    </row>
    <row r="358" spans="7:7" ht="13.2">
      <c r="G358" s="39"/>
    </row>
    <row r="359" spans="7:7" ht="13.2">
      <c r="G359" s="39"/>
    </row>
    <row r="360" spans="7:7" ht="13.2">
      <c r="G360" s="39"/>
    </row>
    <row r="361" spans="7:7" ht="13.2">
      <c r="G361" s="39"/>
    </row>
    <row r="362" spans="7:7" ht="13.2">
      <c r="G362" s="39"/>
    </row>
    <row r="363" spans="7:7" ht="13.2">
      <c r="G363" s="39"/>
    </row>
    <row r="364" spans="7:7" ht="13.2">
      <c r="G364" s="39"/>
    </row>
    <row r="365" spans="7:7" ht="13.2">
      <c r="G365" s="39"/>
    </row>
    <row r="366" spans="7:7" ht="13.2">
      <c r="G366" s="39"/>
    </row>
    <row r="367" spans="7:7" ht="13.2">
      <c r="G367" s="39"/>
    </row>
    <row r="368" spans="7:7" ht="13.2">
      <c r="G368" s="39"/>
    </row>
    <row r="369" spans="7:7" ht="13.2">
      <c r="G369" s="39"/>
    </row>
    <row r="370" spans="7:7" ht="13.2">
      <c r="G370" s="39"/>
    </row>
    <row r="371" spans="7:7" ht="13.2">
      <c r="G371" s="39"/>
    </row>
    <row r="372" spans="7:7" ht="13.2">
      <c r="G372" s="39"/>
    </row>
    <row r="373" spans="7:7" ht="13.2">
      <c r="G373" s="39"/>
    </row>
    <row r="374" spans="7:7" ht="13.2">
      <c r="G374" s="39"/>
    </row>
    <row r="375" spans="7:7" ht="13.2">
      <c r="G375" s="39"/>
    </row>
    <row r="376" spans="7:7" ht="13.2">
      <c r="G376" s="39"/>
    </row>
    <row r="377" spans="7:7" ht="13.2">
      <c r="G377" s="39"/>
    </row>
    <row r="378" spans="7:7" ht="13.2">
      <c r="G378" s="39"/>
    </row>
    <row r="379" spans="7:7" ht="13.2">
      <c r="G379" s="39"/>
    </row>
    <row r="380" spans="7:7" ht="13.2">
      <c r="G380" s="39"/>
    </row>
    <row r="381" spans="7:7" ht="13.2">
      <c r="G381" s="39"/>
    </row>
    <row r="382" spans="7:7" ht="13.2">
      <c r="G382" s="39"/>
    </row>
    <row r="383" spans="7:7" ht="13.2">
      <c r="G383" s="39"/>
    </row>
    <row r="384" spans="7:7" ht="13.2">
      <c r="G384" s="39"/>
    </row>
    <row r="385" spans="7:7" ht="13.2">
      <c r="G385" s="39"/>
    </row>
    <row r="386" spans="7:7" ht="13.2">
      <c r="G386" s="39"/>
    </row>
    <row r="387" spans="7:7" ht="13.2">
      <c r="G387" s="39"/>
    </row>
    <row r="388" spans="7:7" ht="13.2">
      <c r="G388" s="39"/>
    </row>
    <row r="389" spans="7:7" ht="13.2">
      <c r="G389" s="39"/>
    </row>
    <row r="390" spans="7:7" ht="13.2">
      <c r="G390" s="39"/>
    </row>
    <row r="391" spans="7:7" ht="13.2">
      <c r="G391" s="39"/>
    </row>
    <row r="392" spans="7:7" ht="13.2">
      <c r="G392" s="39"/>
    </row>
    <row r="393" spans="7:7" ht="13.2">
      <c r="G393" s="39"/>
    </row>
    <row r="394" spans="7:7" ht="13.2">
      <c r="G394" s="39"/>
    </row>
    <row r="395" spans="7:7" ht="13.2">
      <c r="G395" s="39"/>
    </row>
    <row r="396" spans="7:7" ht="13.2">
      <c r="G396" s="39"/>
    </row>
    <row r="397" spans="7:7" ht="13.2">
      <c r="G397" s="39"/>
    </row>
    <row r="398" spans="7:7" ht="13.2">
      <c r="G398" s="39"/>
    </row>
    <row r="399" spans="7:7" ht="13.2">
      <c r="G399" s="39"/>
    </row>
    <row r="400" spans="7:7" ht="13.2">
      <c r="G400" s="39"/>
    </row>
    <row r="401" spans="7:7" ht="13.2">
      <c r="G401" s="39"/>
    </row>
    <row r="402" spans="7:7" ht="13.2">
      <c r="G402" s="39"/>
    </row>
    <row r="403" spans="7:7" ht="13.2">
      <c r="G403" s="39"/>
    </row>
    <row r="404" spans="7:7" ht="13.2">
      <c r="G404" s="39"/>
    </row>
    <row r="405" spans="7:7" ht="13.2">
      <c r="G405" s="39"/>
    </row>
    <row r="406" spans="7:7" ht="13.2">
      <c r="G406" s="39"/>
    </row>
    <row r="407" spans="7:7" ht="13.2">
      <c r="G407" s="39"/>
    </row>
    <row r="408" spans="7:7" ht="13.2">
      <c r="G408" s="39"/>
    </row>
    <row r="409" spans="7:7" ht="13.2">
      <c r="G409" s="39"/>
    </row>
    <row r="410" spans="7:7" ht="13.2">
      <c r="G410" s="39"/>
    </row>
    <row r="411" spans="7:7" ht="13.2">
      <c r="G411" s="39"/>
    </row>
    <row r="412" spans="7:7" ht="13.2">
      <c r="G412" s="39"/>
    </row>
    <row r="413" spans="7:7" ht="13.2">
      <c r="G413" s="39"/>
    </row>
    <row r="414" spans="7:7" ht="13.2">
      <c r="G414" s="39"/>
    </row>
    <row r="415" spans="7:7" ht="13.2">
      <c r="G415" s="39"/>
    </row>
    <row r="416" spans="7:7" ht="13.2">
      <c r="G416" s="39"/>
    </row>
    <row r="417" spans="7:7" ht="13.2">
      <c r="G417" s="39"/>
    </row>
    <row r="418" spans="7:7" ht="13.2">
      <c r="G418" s="39"/>
    </row>
    <row r="419" spans="7:7" ht="13.2">
      <c r="G419" s="39"/>
    </row>
    <row r="420" spans="7:7" ht="13.2">
      <c r="G420" s="39"/>
    </row>
    <row r="421" spans="7:7" ht="13.2">
      <c r="G421" s="39"/>
    </row>
    <row r="422" spans="7:7" ht="13.2">
      <c r="G422" s="39"/>
    </row>
    <row r="423" spans="7:7" ht="13.2">
      <c r="G423" s="39"/>
    </row>
    <row r="424" spans="7:7" ht="13.2">
      <c r="G424" s="39"/>
    </row>
    <row r="425" spans="7:7" ht="13.2">
      <c r="G425" s="39"/>
    </row>
    <row r="426" spans="7:7" ht="13.2">
      <c r="G426" s="39"/>
    </row>
    <row r="427" spans="7:7" ht="13.2">
      <c r="G427" s="39"/>
    </row>
    <row r="428" spans="7:7" ht="13.2">
      <c r="G428" s="39"/>
    </row>
    <row r="429" spans="7:7" ht="13.2">
      <c r="G429" s="39"/>
    </row>
    <row r="430" spans="7:7" ht="13.2">
      <c r="G430" s="39"/>
    </row>
    <row r="431" spans="7:7" ht="13.2">
      <c r="G431" s="39"/>
    </row>
    <row r="432" spans="7:7" ht="13.2">
      <c r="G432" s="39"/>
    </row>
    <row r="433" spans="7:7" ht="13.2">
      <c r="G433" s="39"/>
    </row>
    <row r="434" spans="7:7" ht="13.2">
      <c r="G434" s="39"/>
    </row>
    <row r="435" spans="7:7" ht="13.2">
      <c r="G435" s="39"/>
    </row>
    <row r="436" spans="7:7" ht="13.2">
      <c r="G436" s="39"/>
    </row>
    <row r="437" spans="7:7" ht="13.2">
      <c r="G437" s="39"/>
    </row>
    <row r="438" spans="7:7" ht="13.2">
      <c r="G438" s="39"/>
    </row>
    <row r="439" spans="7:7" ht="13.2">
      <c r="G439" s="39"/>
    </row>
    <row r="440" spans="7:7" ht="13.2">
      <c r="G440" s="39"/>
    </row>
    <row r="441" spans="7:7" ht="13.2">
      <c r="G441" s="39"/>
    </row>
    <row r="442" spans="7:7" ht="13.2">
      <c r="G442" s="39"/>
    </row>
    <row r="443" spans="7:7" ht="13.2">
      <c r="G443" s="39"/>
    </row>
    <row r="444" spans="7:7" ht="13.2">
      <c r="G444" s="39"/>
    </row>
    <row r="445" spans="7:7" ht="13.2">
      <c r="G445" s="39"/>
    </row>
    <row r="446" spans="7:7" ht="13.2">
      <c r="G446" s="39"/>
    </row>
    <row r="447" spans="7:7" ht="13.2">
      <c r="G447" s="39"/>
    </row>
    <row r="448" spans="7:7" ht="13.2">
      <c r="G448" s="39"/>
    </row>
    <row r="449" spans="7:7" ht="13.2">
      <c r="G449" s="39"/>
    </row>
    <row r="450" spans="7:7" ht="13.2">
      <c r="G450" s="39"/>
    </row>
    <row r="451" spans="7:7" ht="13.2">
      <c r="G451" s="39"/>
    </row>
    <row r="452" spans="7:7" ht="13.2">
      <c r="G452" s="39"/>
    </row>
    <row r="453" spans="7:7" ht="13.2">
      <c r="G453" s="39"/>
    </row>
    <row r="454" spans="7:7" ht="13.2">
      <c r="G454" s="39"/>
    </row>
    <row r="455" spans="7:7" ht="13.2">
      <c r="G455" s="39"/>
    </row>
    <row r="456" spans="7:7" ht="13.2">
      <c r="G456" s="39"/>
    </row>
    <row r="457" spans="7:7" ht="13.2">
      <c r="G457" s="39"/>
    </row>
    <row r="458" spans="7:7" ht="13.2">
      <c r="G458" s="39"/>
    </row>
    <row r="459" spans="7:7" ht="13.2">
      <c r="G459" s="39"/>
    </row>
    <row r="460" spans="7:7" ht="13.2">
      <c r="G460" s="39"/>
    </row>
    <row r="461" spans="7:7" ht="13.2">
      <c r="G461" s="39"/>
    </row>
    <row r="462" spans="7:7" ht="13.2">
      <c r="G462" s="39"/>
    </row>
    <row r="463" spans="7:7" ht="13.2">
      <c r="G463" s="39"/>
    </row>
    <row r="464" spans="7:7" ht="13.2">
      <c r="G464" s="39"/>
    </row>
    <row r="465" spans="7:7" ht="13.2">
      <c r="G465" s="39"/>
    </row>
    <row r="466" spans="7:7" ht="13.2">
      <c r="G466" s="39"/>
    </row>
    <row r="467" spans="7:7" ht="13.2">
      <c r="G467" s="39"/>
    </row>
    <row r="468" spans="7:7" ht="13.2">
      <c r="G468" s="39"/>
    </row>
    <row r="469" spans="7:7" ht="13.2">
      <c r="G469" s="39"/>
    </row>
    <row r="470" spans="7:7" ht="13.2">
      <c r="G470" s="39"/>
    </row>
    <row r="471" spans="7:7" ht="13.2">
      <c r="G471" s="39"/>
    </row>
    <row r="472" spans="7:7" ht="13.2">
      <c r="G472" s="39"/>
    </row>
    <row r="473" spans="7:7" ht="13.2">
      <c r="G473" s="39"/>
    </row>
    <row r="474" spans="7:7" ht="13.2">
      <c r="G474" s="39"/>
    </row>
    <row r="475" spans="7:7" ht="13.2">
      <c r="G475" s="39"/>
    </row>
    <row r="476" spans="7:7" ht="13.2">
      <c r="G476" s="39"/>
    </row>
    <row r="477" spans="7:7" ht="13.2">
      <c r="G477" s="39"/>
    </row>
    <row r="478" spans="7:7" ht="13.2">
      <c r="G478" s="39"/>
    </row>
    <row r="479" spans="7:7" ht="13.2">
      <c r="G479" s="39"/>
    </row>
    <row r="480" spans="7:7" ht="13.2">
      <c r="G480" s="39"/>
    </row>
    <row r="481" spans="7:7" ht="13.2">
      <c r="G481" s="39"/>
    </row>
    <row r="482" spans="7:7" ht="13.2">
      <c r="G482" s="39"/>
    </row>
    <row r="483" spans="7:7" ht="13.2">
      <c r="G483" s="39"/>
    </row>
    <row r="484" spans="7:7" ht="13.2">
      <c r="G484" s="39"/>
    </row>
    <row r="485" spans="7:7" ht="13.2">
      <c r="G485" s="39"/>
    </row>
    <row r="486" spans="7:7" ht="13.2">
      <c r="G486" s="39"/>
    </row>
    <row r="487" spans="7:7" ht="13.2">
      <c r="G487" s="39"/>
    </row>
    <row r="488" spans="7:7" ht="13.2">
      <c r="G488" s="39"/>
    </row>
    <row r="489" spans="7:7" ht="13.2">
      <c r="G489" s="39"/>
    </row>
    <row r="490" spans="7:7" ht="13.2">
      <c r="G490" s="39"/>
    </row>
    <row r="491" spans="7:7" ht="13.2">
      <c r="G491" s="39"/>
    </row>
    <row r="492" spans="7:7" ht="13.2">
      <c r="G492" s="39"/>
    </row>
    <row r="493" spans="7:7" ht="13.2">
      <c r="G493" s="39"/>
    </row>
    <row r="494" spans="7:7" ht="13.2">
      <c r="G494" s="39"/>
    </row>
    <row r="495" spans="7:7" ht="13.2">
      <c r="G495" s="39"/>
    </row>
    <row r="496" spans="7:7" ht="13.2">
      <c r="G496" s="39"/>
    </row>
    <row r="497" spans="7:7" ht="13.2">
      <c r="G497" s="39"/>
    </row>
    <row r="498" spans="7:7" ht="13.2">
      <c r="G498" s="39"/>
    </row>
    <row r="499" spans="7:7" ht="13.2">
      <c r="G499" s="39"/>
    </row>
    <row r="500" spans="7:7" ht="13.2">
      <c r="G500" s="39"/>
    </row>
    <row r="501" spans="7:7" ht="13.2">
      <c r="G501" s="39"/>
    </row>
    <row r="502" spans="7:7" ht="13.2">
      <c r="G502" s="39"/>
    </row>
    <row r="503" spans="7:7" ht="13.2">
      <c r="G503" s="39"/>
    </row>
    <row r="504" spans="7:7" ht="13.2">
      <c r="G504" s="39"/>
    </row>
    <row r="505" spans="7:7" ht="13.2">
      <c r="G505" s="39"/>
    </row>
    <row r="506" spans="7:7" ht="13.2">
      <c r="G506" s="39"/>
    </row>
    <row r="507" spans="7:7" ht="13.2">
      <c r="G507" s="39"/>
    </row>
    <row r="508" spans="7:7" ht="13.2">
      <c r="G508" s="39"/>
    </row>
    <row r="509" spans="7:7" ht="13.2">
      <c r="G509" s="39"/>
    </row>
    <row r="510" spans="7:7" ht="13.2">
      <c r="G510" s="39"/>
    </row>
    <row r="511" spans="7:7" ht="13.2">
      <c r="G511" s="39"/>
    </row>
    <row r="512" spans="7:7" ht="13.2">
      <c r="G512" s="39"/>
    </row>
    <row r="513" spans="7:7" ht="13.2">
      <c r="G513" s="39"/>
    </row>
    <row r="514" spans="7:7" ht="13.2">
      <c r="G514" s="39"/>
    </row>
    <row r="515" spans="7:7" ht="13.2">
      <c r="G515" s="39"/>
    </row>
    <row r="516" spans="7:7" ht="13.2">
      <c r="G516" s="39"/>
    </row>
    <row r="517" spans="7:7" ht="13.2">
      <c r="G517" s="39"/>
    </row>
    <row r="518" spans="7:7" ht="13.2">
      <c r="G518" s="39"/>
    </row>
    <row r="519" spans="7:7" ht="13.2">
      <c r="G519" s="39"/>
    </row>
    <row r="520" spans="7:7" ht="13.2">
      <c r="G520" s="39"/>
    </row>
    <row r="521" spans="7:7" ht="13.2">
      <c r="G521" s="39"/>
    </row>
    <row r="522" spans="7:7" ht="13.2">
      <c r="G522" s="39"/>
    </row>
    <row r="523" spans="7:7" ht="13.2">
      <c r="G523" s="39"/>
    </row>
    <row r="524" spans="7:7" ht="13.2">
      <c r="G524" s="39"/>
    </row>
    <row r="525" spans="7:7" ht="13.2">
      <c r="G525" s="39"/>
    </row>
    <row r="526" spans="7:7" ht="13.2">
      <c r="G526" s="39"/>
    </row>
    <row r="527" spans="7:7" ht="13.2">
      <c r="G527" s="39"/>
    </row>
    <row r="528" spans="7:7" ht="13.2">
      <c r="G528" s="39"/>
    </row>
    <row r="529" spans="7:7" ht="13.2">
      <c r="G529" s="39"/>
    </row>
    <row r="530" spans="7:7" ht="13.2">
      <c r="G530" s="39"/>
    </row>
    <row r="531" spans="7:7" ht="13.2">
      <c r="G531" s="39"/>
    </row>
    <row r="532" spans="7:7" ht="13.2">
      <c r="G532" s="39"/>
    </row>
    <row r="533" spans="7:7" ht="13.2">
      <c r="G533" s="39"/>
    </row>
    <row r="534" spans="7:7" ht="13.2">
      <c r="G534" s="39"/>
    </row>
    <row r="535" spans="7:7" ht="13.2">
      <c r="G535" s="39"/>
    </row>
    <row r="536" spans="7:7" ht="13.2">
      <c r="G536" s="39"/>
    </row>
    <row r="537" spans="7:7" ht="13.2">
      <c r="G537" s="39"/>
    </row>
    <row r="538" spans="7:7" ht="13.2">
      <c r="G538" s="39"/>
    </row>
    <row r="539" spans="7:7" ht="13.2">
      <c r="G539" s="39"/>
    </row>
    <row r="540" spans="7:7" ht="13.2">
      <c r="G540" s="39"/>
    </row>
    <row r="541" spans="7:7" ht="13.2">
      <c r="G541" s="39"/>
    </row>
    <row r="542" spans="7:7" ht="13.2">
      <c r="G542" s="39"/>
    </row>
    <row r="543" spans="7:7" ht="13.2">
      <c r="G543" s="39"/>
    </row>
    <row r="544" spans="7:7" ht="13.2">
      <c r="G544" s="39"/>
    </row>
    <row r="545" spans="7:7" ht="13.2">
      <c r="G545" s="39"/>
    </row>
    <row r="546" spans="7:7" ht="13.2">
      <c r="G546" s="39"/>
    </row>
    <row r="547" spans="7:7" ht="13.2">
      <c r="G547" s="39"/>
    </row>
    <row r="548" spans="7:7" ht="13.2">
      <c r="G548" s="39"/>
    </row>
    <row r="549" spans="7:7" ht="13.2">
      <c r="G549" s="39"/>
    </row>
    <row r="550" spans="7:7" ht="13.2">
      <c r="G550" s="39"/>
    </row>
    <row r="551" spans="7:7" ht="13.2">
      <c r="G551" s="39"/>
    </row>
    <row r="552" spans="7:7" ht="13.2">
      <c r="G552" s="39"/>
    </row>
    <row r="553" spans="7:7" ht="13.2">
      <c r="G553" s="39"/>
    </row>
    <row r="554" spans="7:7" ht="13.2">
      <c r="G554" s="39"/>
    </row>
    <row r="555" spans="7:7" ht="13.2">
      <c r="G555" s="39"/>
    </row>
    <row r="556" spans="7:7" ht="13.2">
      <c r="G556" s="39"/>
    </row>
    <row r="557" spans="7:7" ht="13.2">
      <c r="G557" s="39"/>
    </row>
    <row r="558" spans="7:7" ht="13.2">
      <c r="G558" s="39"/>
    </row>
    <row r="559" spans="7:7" ht="13.2">
      <c r="G559" s="39"/>
    </row>
    <row r="560" spans="7:7" ht="13.2">
      <c r="G560" s="39"/>
    </row>
    <row r="561" spans="7:7" ht="13.2">
      <c r="G561" s="39"/>
    </row>
    <row r="562" spans="7:7" ht="13.2">
      <c r="G562" s="39"/>
    </row>
    <row r="563" spans="7:7" ht="13.2">
      <c r="G563" s="39"/>
    </row>
    <row r="564" spans="7:7" ht="13.2">
      <c r="G564" s="39"/>
    </row>
    <row r="565" spans="7:7" ht="13.2">
      <c r="G565" s="39"/>
    </row>
    <row r="566" spans="7:7" ht="13.2">
      <c r="G566" s="39"/>
    </row>
    <row r="567" spans="7:7" ht="13.2">
      <c r="G567" s="39"/>
    </row>
    <row r="568" spans="7:7" ht="13.2">
      <c r="G568" s="39"/>
    </row>
    <row r="569" spans="7:7" ht="13.2">
      <c r="G569" s="39"/>
    </row>
    <row r="570" spans="7:7" ht="13.2">
      <c r="G570" s="39"/>
    </row>
    <row r="571" spans="7:7" ht="13.2">
      <c r="G571" s="39"/>
    </row>
    <row r="572" spans="7:7" ht="13.2">
      <c r="G572" s="39"/>
    </row>
    <row r="573" spans="7:7" ht="13.2">
      <c r="G573" s="39"/>
    </row>
    <row r="574" spans="7:7" ht="13.2">
      <c r="G574" s="39"/>
    </row>
    <row r="575" spans="7:7" ht="13.2">
      <c r="G575" s="39"/>
    </row>
    <row r="576" spans="7:7" ht="13.2">
      <c r="G576" s="39"/>
    </row>
    <row r="577" spans="7:7" ht="13.2">
      <c r="G577" s="39"/>
    </row>
    <row r="578" spans="7:7" ht="13.2">
      <c r="G578" s="39"/>
    </row>
    <row r="579" spans="7:7" ht="13.2">
      <c r="G579" s="39"/>
    </row>
    <row r="580" spans="7:7" ht="13.2">
      <c r="G580" s="39"/>
    </row>
    <row r="581" spans="7:7" ht="13.2">
      <c r="G581" s="39"/>
    </row>
    <row r="582" spans="7:7" ht="13.2">
      <c r="G582" s="39"/>
    </row>
    <row r="583" spans="7:7" ht="13.2">
      <c r="G583" s="39"/>
    </row>
    <row r="584" spans="7:7" ht="13.2">
      <c r="G584" s="39"/>
    </row>
    <row r="585" spans="7:7" ht="13.2">
      <c r="G585" s="39"/>
    </row>
    <row r="586" spans="7:7" ht="13.2">
      <c r="G586" s="39"/>
    </row>
    <row r="587" spans="7:7" ht="13.2">
      <c r="G587" s="39"/>
    </row>
    <row r="588" spans="7:7" ht="13.2">
      <c r="G588" s="39"/>
    </row>
    <row r="589" spans="7:7" ht="13.2">
      <c r="G589" s="39"/>
    </row>
    <row r="590" spans="7:7" ht="13.2">
      <c r="G590" s="39"/>
    </row>
    <row r="591" spans="7:7" ht="13.2">
      <c r="G591" s="39"/>
    </row>
    <row r="592" spans="7:7" ht="13.2">
      <c r="G592" s="39"/>
    </row>
    <row r="593" spans="7:7" ht="13.2">
      <c r="G593" s="39"/>
    </row>
    <row r="594" spans="7:7" ht="13.2">
      <c r="G594" s="39"/>
    </row>
    <row r="595" spans="7:7" ht="13.2">
      <c r="G595" s="39"/>
    </row>
    <row r="596" spans="7:7" ht="13.2">
      <c r="G596" s="39"/>
    </row>
    <row r="597" spans="7:7" ht="13.2">
      <c r="G597" s="39"/>
    </row>
    <row r="598" spans="7:7" ht="13.2">
      <c r="G598" s="39"/>
    </row>
    <row r="599" spans="7:7" ht="13.2">
      <c r="G599" s="39"/>
    </row>
    <row r="600" spans="7:7" ht="13.2">
      <c r="G600" s="39"/>
    </row>
    <row r="601" spans="7:7" ht="13.2">
      <c r="G601" s="39"/>
    </row>
    <row r="602" spans="7:7" ht="13.2">
      <c r="G602" s="39"/>
    </row>
    <row r="603" spans="7:7" ht="13.2">
      <c r="G603" s="39"/>
    </row>
    <row r="604" spans="7:7" ht="13.2">
      <c r="G604" s="39"/>
    </row>
    <row r="605" spans="7:7" ht="13.2">
      <c r="G605" s="39"/>
    </row>
    <row r="606" spans="7:7" ht="13.2">
      <c r="G606" s="39"/>
    </row>
    <row r="607" spans="7:7" ht="13.2">
      <c r="G607" s="39"/>
    </row>
    <row r="608" spans="7:7" ht="13.2">
      <c r="G608" s="39"/>
    </row>
    <row r="609" spans="7:7" ht="13.2">
      <c r="G609" s="39"/>
    </row>
    <row r="610" spans="7:7" ht="13.2">
      <c r="G610" s="39"/>
    </row>
    <row r="611" spans="7:7" ht="13.2">
      <c r="G611" s="39"/>
    </row>
    <row r="612" spans="7:7" ht="13.2">
      <c r="G612" s="39"/>
    </row>
    <row r="613" spans="7:7" ht="13.2">
      <c r="G613" s="39"/>
    </row>
    <row r="614" spans="7:7" ht="13.2">
      <c r="G614" s="39"/>
    </row>
    <row r="615" spans="7:7" ht="13.2">
      <c r="G615" s="39"/>
    </row>
    <row r="616" spans="7:7" ht="13.2">
      <c r="G616" s="39"/>
    </row>
    <row r="617" spans="7:7" ht="13.2">
      <c r="G617" s="39"/>
    </row>
    <row r="618" spans="7:7" ht="13.2">
      <c r="G618" s="39"/>
    </row>
    <row r="619" spans="7:7" ht="13.2">
      <c r="G619" s="39"/>
    </row>
    <row r="620" spans="7:7" ht="13.2">
      <c r="G620" s="39"/>
    </row>
    <row r="621" spans="7:7" ht="13.2">
      <c r="G621" s="39"/>
    </row>
    <row r="622" spans="7:7" ht="13.2">
      <c r="G622" s="39"/>
    </row>
    <row r="623" spans="7:7" ht="13.2">
      <c r="G623" s="39"/>
    </row>
    <row r="624" spans="7:7" ht="13.2">
      <c r="G624" s="39"/>
    </row>
    <row r="625" spans="7:7" ht="13.2">
      <c r="G625" s="39"/>
    </row>
    <row r="626" spans="7:7" ht="13.2">
      <c r="G626" s="39"/>
    </row>
    <row r="627" spans="7:7" ht="13.2">
      <c r="G627" s="39"/>
    </row>
    <row r="628" spans="7:7" ht="13.2">
      <c r="G628" s="39"/>
    </row>
    <row r="629" spans="7:7" ht="13.2">
      <c r="G629" s="39"/>
    </row>
    <row r="630" spans="7:7" ht="13.2">
      <c r="G630" s="39"/>
    </row>
    <row r="631" spans="7:7" ht="13.2">
      <c r="G631" s="39"/>
    </row>
    <row r="632" spans="7:7" ht="13.2">
      <c r="G632" s="39"/>
    </row>
    <row r="633" spans="7:7" ht="13.2">
      <c r="G633" s="39"/>
    </row>
    <row r="634" spans="7:7" ht="13.2">
      <c r="G634" s="39"/>
    </row>
    <row r="635" spans="7:7" ht="13.2">
      <c r="G635" s="39"/>
    </row>
    <row r="636" spans="7:7" ht="13.2">
      <c r="G636" s="39"/>
    </row>
    <row r="637" spans="7:7" ht="13.2">
      <c r="G637" s="39"/>
    </row>
    <row r="638" spans="7:7" ht="13.2">
      <c r="G638" s="39"/>
    </row>
    <row r="639" spans="7:7" ht="13.2">
      <c r="G639" s="39"/>
    </row>
    <row r="640" spans="7:7" ht="13.2">
      <c r="G640" s="39"/>
    </row>
    <row r="641" spans="7:7" ht="13.2">
      <c r="G641" s="39"/>
    </row>
    <row r="642" spans="7:7" ht="13.2">
      <c r="G642" s="39"/>
    </row>
    <row r="643" spans="7:7" ht="13.2">
      <c r="G643" s="39"/>
    </row>
    <row r="644" spans="7:7" ht="13.2">
      <c r="G644" s="39"/>
    </row>
    <row r="645" spans="7:7" ht="13.2">
      <c r="G645" s="39"/>
    </row>
    <row r="646" spans="7:7" ht="13.2">
      <c r="G646" s="39"/>
    </row>
    <row r="647" spans="7:7" ht="13.2">
      <c r="G647" s="39"/>
    </row>
    <row r="648" spans="7:7" ht="13.2">
      <c r="G648" s="39"/>
    </row>
    <row r="649" spans="7:7" ht="13.2">
      <c r="G649" s="39"/>
    </row>
    <row r="650" spans="7:7" ht="13.2">
      <c r="G650" s="39"/>
    </row>
    <row r="651" spans="7:7" ht="13.2">
      <c r="G651" s="39"/>
    </row>
    <row r="652" spans="7:7" ht="13.2">
      <c r="G652" s="39"/>
    </row>
    <row r="653" spans="7:7" ht="13.2">
      <c r="G653" s="39"/>
    </row>
    <row r="654" spans="7:7" ht="13.2">
      <c r="G654" s="39"/>
    </row>
    <row r="655" spans="7:7" ht="13.2">
      <c r="G655" s="39"/>
    </row>
    <row r="656" spans="7:7" ht="13.2">
      <c r="G656" s="39"/>
    </row>
    <row r="657" spans="7:7" ht="13.2">
      <c r="G657" s="39"/>
    </row>
    <row r="658" spans="7:7" ht="13.2">
      <c r="G658" s="39"/>
    </row>
    <row r="659" spans="7:7" ht="13.2">
      <c r="G659" s="39"/>
    </row>
    <row r="660" spans="7:7" ht="13.2">
      <c r="G660" s="39"/>
    </row>
    <row r="661" spans="7:7" ht="13.2">
      <c r="G661" s="39"/>
    </row>
    <row r="662" spans="7:7" ht="13.2">
      <c r="G662" s="39"/>
    </row>
    <row r="663" spans="7:7" ht="13.2">
      <c r="G663" s="39"/>
    </row>
    <row r="664" spans="7:7" ht="13.2">
      <c r="G664" s="39"/>
    </row>
    <row r="665" spans="7:7" ht="13.2">
      <c r="G665" s="39"/>
    </row>
    <row r="666" spans="7:7" ht="13.2">
      <c r="G666" s="39"/>
    </row>
    <row r="667" spans="7:7" ht="13.2">
      <c r="G667" s="39"/>
    </row>
    <row r="668" spans="7:7" ht="13.2">
      <c r="G668" s="39"/>
    </row>
    <row r="669" spans="7:7" ht="13.2">
      <c r="G669" s="39"/>
    </row>
    <row r="670" spans="7:7" ht="13.2">
      <c r="G670" s="39"/>
    </row>
    <row r="671" spans="7:7" ht="13.2">
      <c r="G671" s="39"/>
    </row>
    <row r="672" spans="7:7" ht="13.2">
      <c r="G672" s="39"/>
    </row>
    <row r="673" spans="7:7" ht="13.2">
      <c r="G673" s="39"/>
    </row>
    <row r="674" spans="7:7" ht="13.2">
      <c r="G674" s="39"/>
    </row>
    <row r="675" spans="7:7" ht="13.2">
      <c r="G675" s="39"/>
    </row>
    <row r="676" spans="7:7" ht="13.2">
      <c r="G676" s="39"/>
    </row>
    <row r="677" spans="7:7" ht="13.2">
      <c r="G677" s="39"/>
    </row>
    <row r="678" spans="7:7" ht="13.2">
      <c r="G678" s="39"/>
    </row>
    <row r="679" spans="7:7" ht="13.2">
      <c r="G679" s="39"/>
    </row>
    <row r="680" spans="7:7" ht="13.2">
      <c r="G680" s="39"/>
    </row>
    <row r="681" spans="7:7" ht="13.2">
      <c r="G681" s="39"/>
    </row>
    <row r="682" spans="7:7" ht="13.2">
      <c r="G682" s="39"/>
    </row>
    <row r="683" spans="7:7" ht="13.2">
      <c r="G683" s="39"/>
    </row>
    <row r="684" spans="7:7" ht="13.2">
      <c r="G684" s="39"/>
    </row>
    <row r="685" spans="7:7" ht="13.2">
      <c r="G685" s="39"/>
    </row>
    <row r="686" spans="7:7" ht="13.2">
      <c r="G686" s="39"/>
    </row>
    <row r="687" spans="7:7" ht="13.2">
      <c r="G687" s="39"/>
    </row>
    <row r="688" spans="7:7" ht="13.2">
      <c r="G688" s="39"/>
    </row>
    <row r="689" spans="7:7" ht="13.2">
      <c r="G689" s="39"/>
    </row>
    <row r="690" spans="7:7" ht="13.2">
      <c r="G690" s="39"/>
    </row>
    <row r="691" spans="7:7" ht="13.2">
      <c r="G691" s="39"/>
    </row>
    <row r="692" spans="7:7" ht="13.2">
      <c r="G692" s="39"/>
    </row>
    <row r="693" spans="7:7" ht="13.2">
      <c r="G693" s="39"/>
    </row>
    <row r="694" spans="7:7" ht="13.2">
      <c r="G694" s="39"/>
    </row>
    <row r="695" spans="7:7" ht="13.2">
      <c r="G695" s="39"/>
    </row>
    <row r="696" spans="7:7" ht="13.2">
      <c r="G696" s="39"/>
    </row>
    <row r="697" spans="7:7" ht="13.2">
      <c r="G697" s="39"/>
    </row>
    <row r="698" spans="7:7" ht="13.2">
      <c r="G698" s="39"/>
    </row>
    <row r="699" spans="7:7" ht="13.2">
      <c r="G699" s="39"/>
    </row>
    <row r="700" spans="7:7" ht="13.2">
      <c r="G700" s="39"/>
    </row>
    <row r="701" spans="7:7" ht="13.2">
      <c r="G701" s="39"/>
    </row>
    <row r="702" spans="7:7" ht="13.2">
      <c r="G702" s="39"/>
    </row>
    <row r="703" spans="7:7" ht="13.2">
      <c r="G703" s="39"/>
    </row>
    <row r="704" spans="7:7" ht="13.2">
      <c r="G704" s="39"/>
    </row>
    <row r="705" spans="7:7" ht="13.2">
      <c r="G705" s="39"/>
    </row>
    <row r="706" spans="7:7" ht="13.2">
      <c r="G706" s="39"/>
    </row>
    <row r="707" spans="7:7" ht="13.2">
      <c r="G707" s="39"/>
    </row>
    <row r="708" spans="7:7" ht="13.2">
      <c r="G708" s="39"/>
    </row>
    <row r="709" spans="7:7" ht="13.2">
      <c r="G709" s="39"/>
    </row>
    <row r="710" spans="7:7" ht="13.2">
      <c r="G710" s="39"/>
    </row>
    <row r="711" spans="7:7" ht="13.2">
      <c r="G711" s="39"/>
    </row>
    <row r="712" spans="7:7" ht="13.2">
      <c r="G712" s="39"/>
    </row>
    <row r="713" spans="7:7" ht="13.2">
      <c r="G713" s="39"/>
    </row>
    <row r="714" spans="7:7" ht="13.2">
      <c r="G714" s="39"/>
    </row>
    <row r="715" spans="7:7" ht="13.2">
      <c r="G715" s="39"/>
    </row>
    <row r="716" spans="7:7" ht="13.2">
      <c r="G716" s="39"/>
    </row>
    <row r="717" spans="7:7" ht="13.2">
      <c r="G717" s="39"/>
    </row>
    <row r="718" spans="7:7" ht="13.2">
      <c r="G718" s="39"/>
    </row>
    <row r="719" spans="7:7" ht="13.2">
      <c r="G719" s="39"/>
    </row>
    <row r="720" spans="7:7" ht="13.2">
      <c r="G720" s="39"/>
    </row>
    <row r="721" spans="7:7" ht="13.2">
      <c r="G721" s="39"/>
    </row>
    <row r="722" spans="7:7" ht="13.2">
      <c r="G722" s="39"/>
    </row>
    <row r="723" spans="7:7" ht="13.2">
      <c r="G723" s="39"/>
    </row>
    <row r="724" spans="7:7" ht="13.2">
      <c r="G724" s="39"/>
    </row>
    <row r="725" spans="7:7" ht="13.2">
      <c r="G725" s="39"/>
    </row>
    <row r="726" spans="7:7" ht="13.2">
      <c r="G726" s="39"/>
    </row>
    <row r="727" spans="7:7" ht="13.2">
      <c r="G727" s="39"/>
    </row>
    <row r="728" spans="7:7" ht="13.2">
      <c r="G728" s="39"/>
    </row>
    <row r="729" spans="7:7" ht="13.2">
      <c r="G729" s="39"/>
    </row>
    <row r="730" spans="7:7" ht="13.2">
      <c r="G730" s="39"/>
    </row>
    <row r="731" spans="7:7" ht="13.2">
      <c r="G731" s="39"/>
    </row>
    <row r="732" spans="7:7" ht="13.2">
      <c r="G732" s="39"/>
    </row>
    <row r="733" spans="7:7" ht="13.2">
      <c r="G733" s="39"/>
    </row>
    <row r="734" spans="7:7" ht="13.2">
      <c r="G734" s="39"/>
    </row>
    <row r="735" spans="7:7" ht="13.2">
      <c r="G735" s="39"/>
    </row>
    <row r="736" spans="7:7" ht="13.2">
      <c r="G736" s="39"/>
    </row>
    <row r="737" spans="7:7" ht="13.2">
      <c r="G737" s="39"/>
    </row>
    <row r="738" spans="7:7" ht="13.2">
      <c r="G738" s="39"/>
    </row>
    <row r="739" spans="7:7" ht="13.2">
      <c r="G739" s="39"/>
    </row>
    <row r="740" spans="7:7" ht="13.2">
      <c r="G740" s="39"/>
    </row>
    <row r="741" spans="7:7" ht="13.2">
      <c r="G741" s="39"/>
    </row>
    <row r="742" spans="7:7" ht="13.2">
      <c r="G742" s="39"/>
    </row>
    <row r="743" spans="7:7" ht="13.2">
      <c r="G743" s="39"/>
    </row>
    <row r="744" spans="7:7" ht="13.2">
      <c r="G744" s="39"/>
    </row>
    <row r="745" spans="7:7" ht="13.2">
      <c r="G745" s="39"/>
    </row>
    <row r="746" spans="7:7" ht="13.2">
      <c r="G746" s="39"/>
    </row>
    <row r="747" spans="7:7" ht="13.2">
      <c r="G747" s="39"/>
    </row>
    <row r="748" spans="7:7" ht="13.2">
      <c r="G748" s="39"/>
    </row>
    <row r="749" spans="7:7" ht="13.2">
      <c r="G749" s="39"/>
    </row>
    <row r="750" spans="7:7" ht="13.2">
      <c r="G750" s="39"/>
    </row>
    <row r="751" spans="7:7" ht="13.2">
      <c r="G751" s="39"/>
    </row>
    <row r="752" spans="7:7" ht="13.2">
      <c r="G752" s="39"/>
    </row>
    <row r="753" spans="7:7" ht="13.2">
      <c r="G753" s="39"/>
    </row>
    <row r="754" spans="7:7" ht="13.2">
      <c r="G754" s="39"/>
    </row>
    <row r="755" spans="7:7" ht="13.2">
      <c r="G755" s="39"/>
    </row>
    <row r="756" spans="7:7" ht="13.2">
      <c r="G756" s="39"/>
    </row>
    <row r="757" spans="7:7" ht="13.2">
      <c r="G757" s="39"/>
    </row>
    <row r="758" spans="7:7" ht="13.2">
      <c r="G758" s="39"/>
    </row>
    <row r="759" spans="7:7" ht="13.2">
      <c r="G759" s="39"/>
    </row>
    <row r="760" spans="7:7" ht="13.2">
      <c r="G760" s="39"/>
    </row>
    <row r="761" spans="7:7" ht="13.2">
      <c r="G761" s="39"/>
    </row>
    <row r="762" spans="7:7" ht="13.2">
      <c r="G762" s="39"/>
    </row>
    <row r="763" spans="7:7" ht="13.2">
      <c r="G763" s="39"/>
    </row>
    <row r="764" spans="7:7" ht="13.2">
      <c r="G764" s="39"/>
    </row>
    <row r="765" spans="7:7" ht="13.2">
      <c r="G765" s="39"/>
    </row>
    <row r="766" spans="7:7" ht="13.2">
      <c r="G766" s="39"/>
    </row>
    <row r="767" spans="7:7" ht="13.2">
      <c r="G767" s="39"/>
    </row>
    <row r="768" spans="7:7" ht="13.2">
      <c r="G768" s="39"/>
    </row>
    <row r="769" spans="7:7" ht="13.2">
      <c r="G769" s="39"/>
    </row>
    <row r="770" spans="7:7" ht="13.2">
      <c r="G770" s="39"/>
    </row>
    <row r="771" spans="7:7" ht="13.2">
      <c r="G771" s="39"/>
    </row>
    <row r="772" spans="7:7" ht="13.2">
      <c r="G772" s="39"/>
    </row>
    <row r="773" spans="7:7" ht="13.2">
      <c r="G773" s="39"/>
    </row>
    <row r="774" spans="7:7" ht="13.2">
      <c r="G774" s="39"/>
    </row>
    <row r="775" spans="7:7" ht="13.2">
      <c r="G775" s="39"/>
    </row>
    <row r="776" spans="7:7" ht="13.2">
      <c r="G776" s="39"/>
    </row>
    <row r="777" spans="7:7" ht="13.2">
      <c r="G777" s="39"/>
    </row>
    <row r="778" spans="7:7" ht="13.2">
      <c r="G778" s="39"/>
    </row>
    <row r="779" spans="7:7" ht="13.2">
      <c r="G779" s="39"/>
    </row>
    <row r="780" spans="7:7" ht="13.2">
      <c r="G780" s="39"/>
    </row>
    <row r="781" spans="7:7" ht="13.2">
      <c r="G781" s="39"/>
    </row>
    <row r="782" spans="7:7" ht="13.2">
      <c r="G782" s="39"/>
    </row>
    <row r="783" spans="7:7" ht="13.2">
      <c r="G783" s="39"/>
    </row>
    <row r="784" spans="7:7" ht="13.2">
      <c r="G784" s="39"/>
    </row>
    <row r="785" spans="7:7" ht="13.2">
      <c r="G785" s="39"/>
    </row>
    <row r="786" spans="7:7" ht="13.2">
      <c r="G786" s="39"/>
    </row>
    <row r="787" spans="7:7" ht="13.2">
      <c r="G787" s="39"/>
    </row>
    <row r="788" spans="7:7" ht="13.2">
      <c r="G788" s="39"/>
    </row>
    <row r="789" spans="7:7" ht="13.2">
      <c r="G789" s="39"/>
    </row>
    <row r="790" spans="7:7" ht="13.2">
      <c r="G790" s="39"/>
    </row>
    <row r="791" spans="7:7" ht="13.2">
      <c r="G791" s="39"/>
    </row>
    <row r="792" spans="7:7" ht="13.2">
      <c r="G792" s="39"/>
    </row>
    <row r="793" spans="7:7" ht="13.2">
      <c r="G793" s="39"/>
    </row>
    <row r="794" spans="7:7" ht="13.2">
      <c r="G794" s="39"/>
    </row>
    <row r="795" spans="7:7" ht="13.2">
      <c r="G795" s="39"/>
    </row>
    <row r="796" spans="7:7" ht="13.2">
      <c r="G796" s="39"/>
    </row>
    <row r="797" spans="7:7" ht="13.2">
      <c r="G797" s="39"/>
    </row>
    <row r="798" spans="7:7" ht="13.2">
      <c r="G798" s="39"/>
    </row>
    <row r="799" spans="7:7" ht="13.2">
      <c r="G799" s="39"/>
    </row>
    <row r="800" spans="7:7" ht="13.2">
      <c r="G800" s="39"/>
    </row>
    <row r="801" spans="7:7" ht="13.2">
      <c r="G801" s="39"/>
    </row>
    <row r="802" spans="7:7" ht="13.2">
      <c r="G802" s="39"/>
    </row>
    <row r="803" spans="7:7" ht="13.2">
      <c r="G803" s="39"/>
    </row>
    <row r="804" spans="7:7" ht="13.2">
      <c r="G804" s="39"/>
    </row>
    <row r="805" spans="7:7" ht="13.2">
      <c r="G805" s="39"/>
    </row>
    <row r="806" spans="7:7" ht="13.2">
      <c r="G806" s="39"/>
    </row>
    <row r="807" spans="7:7" ht="13.2">
      <c r="G807" s="39"/>
    </row>
    <row r="808" spans="7:7" ht="13.2">
      <c r="G808" s="39"/>
    </row>
    <row r="809" spans="7:7" ht="13.2">
      <c r="G809" s="39"/>
    </row>
    <row r="810" spans="7:7" ht="13.2">
      <c r="G810" s="39"/>
    </row>
    <row r="811" spans="7:7" ht="13.2">
      <c r="G811" s="39"/>
    </row>
    <row r="812" spans="7:7" ht="13.2">
      <c r="G812" s="39"/>
    </row>
    <row r="813" spans="7:7" ht="13.2">
      <c r="G813" s="39"/>
    </row>
    <row r="814" spans="7:7" ht="13.2">
      <c r="G814" s="39"/>
    </row>
    <row r="815" spans="7:7" ht="13.2">
      <c r="G815" s="39"/>
    </row>
    <row r="816" spans="7:7" ht="13.2">
      <c r="G816" s="39"/>
    </row>
    <row r="817" spans="7:7" ht="13.2">
      <c r="G817" s="39"/>
    </row>
    <row r="818" spans="7:7" ht="13.2">
      <c r="G818" s="39"/>
    </row>
    <row r="819" spans="7:7" ht="13.2">
      <c r="G819" s="39"/>
    </row>
    <row r="820" spans="7:7" ht="13.2">
      <c r="G820" s="39"/>
    </row>
    <row r="821" spans="7:7" ht="13.2">
      <c r="G821" s="39"/>
    </row>
    <row r="822" spans="7:7" ht="13.2">
      <c r="G822" s="39"/>
    </row>
    <row r="823" spans="7:7" ht="13.2">
      <c r="G823" s="39"/>
    </row>
    <row r="824" spans="7:7" ht="13.2">
      <c r="G824" s="39"/>
    </row>
    <row r="825" spans="7:7" ht="13.2">
      <c r="G825" s="39"/>
    </row>
    <row r="826" spans="7:7" ht="13.2">
      <c r="G826" s="39"/>
    </row>
    <row r="827" spans="7:7" ht="13.2">
      <c r="G827" s="39"/>
    </row>
    <row r="828" spans="7:7" ht="13.2">
      <c r="G828" s="39"/>
    </row>
    <row r="829" spans="7:7" ht="13.2">
      <c r="G829" s="39"/>
    </row>
    <row r="830" spans="7:7" ht="13.2">
      <c r="G830" s="39"/>
    </row>
    <row r="831" spans="7:7" ht="13.2">
      <c r="G831" s="39"/>
    </row>
    <row r="832" spans="7:7" ht="13.2">
      <c r="G832" s="39"/>
    </row>
    <row r="833" spans="7:7" ht="13.2">
      <c r="G833" s="39"/>
    </row>
    <row r="834" spans="7:7" ht="13.2">
      <c r="G834" s="39"/>
    </row>
    <row r="835" spans="7:7" ht="13.2">
      <c r="G835" s="39"/>
    </row>
    <row r="836" spans="7:7" ht="13.2">
      <c r="G836" s="39"/>
    </row>
    <row r="837" spans="7:7" ht="13.2">
      <c r="G837" s="39"/>
    </row>
    <row r="838" spans="7:7" ht="13.2">
      <c r="G838" s="39"/>
    </row>
    <row r="839" spans="7:7" ht="13.2">
      <c r="G839" s="39"/>
    </row>
    <row r="840" spans="7:7" ht="13.2">
      <c r="G840" s="39"/>
    </row>
    <row r="841" spans="7:7" ht="13.2">
      <c r="G841" s="39"/>
    </row>
    <row r="842" spans="7:7" ht="13.2">
      <c r="G842" s="39"/>
    </row>
    <row r="843" spans="7:7" ht="13.2">
      <c r="G843" s="39"/>
    </row>
    <row r="844" spans="7:7" ht="13.2">
      <c r="G844" s="39"/>
    </row>
    <row r="845" spans="7:7" ht="13.2">
      <c r="G845" s="39"/>
    </row>
    <row r="846" spans="7:7" ht="13.2">
      <c r="G846" s="39"/>
    </row>
    <row r="847" spans="7:7" ht="13.2">
      <c r="G847" s="39"/>
    </row>
    <row r="848" spans="7:7" ht="13.2">
      <c r="G848" s="39"/>
    </row>
    <row r="849" spans="7:7" ht="13.2">
      <c r="G849" s="39"/>
    </row>
    <row r="850" spans="7:7" ht="13.2">
      <c r="G850" s="39"/>
    </row>
    <row r="851" spans="7:7" ht="13.2">
      <c r="G851" s="39"/>
    </row>
    <row r="852" spans="7:7" ht="13.2">
      <c r="G852" s="39"/>
    </row>
    <row r="853" spans="7:7" ht="13.2">
      <c r="G853" s="39"/>
    </row>
    <row r="854" spans="7:7" ht="13.2">
      <c r="G854" s="39"/>
    </row>
    <row r="855" spans="7:7" ht="13.2">
      <c r="G855" s="39"/>
    </row>
    <row r="856" spans="7:7" ht="13.2">
      <c r="G856" s="39"/>
    </row>
    <row r="857" spans="7:7" ht="13.2">
      <c r="G857" s="39"/>
    </row>
    <row r="858" spans="7:7" ht="13.2">
      <c r="G858" s="39"/>
    </row>
    <row r="859" spans="7:7" ht="13.2">
      <c r="G859" s="39"/>
    </row>
    <row r="860" spans="7:7" ht="13.2">
      <c r="G860" s="39"/>
    </row>
    <row r="861" spans="7:7" ht="13.2">
      <c r="G861" s="39"/>
    </row>
    <row r="862" spans="7:7" ht="13.2">
      <c r="G862" s="39"/>
    </row>
    <row r="863" spans="7:7" ht="13.2">
      <c r="G863" s="39"/>
    </row>
    <row r="864" spans="7:7" ht="13.2">
      <c r="G864" s="39"/>
    </row>
    <row r="865" spans="7:7" ht="13.2">
      <c r="G865" s="39"/>
    </row>
    <row r="866" spans="7:7" ht="13.2">
      <c r="G866" s="39"/>
    </row>
    <row r="867" spans="7:7" ht="13.2">
      <c r="G867" s="39"/>
    </row>
    <row r="868" spans="7:7" ht="13.2">
      <c r="G868" s="39"/>
    </row>
    <row r="869" spans="7:7" ht="13.2">
      <c r="G869" s="39"/>
    </row>
    <row r="870" spans="7:7" ht="13.2">
      <c r="G870" s="39"/>
    </row>
    <row r="871" spans="7:7" ht="13.2">
      <c r="G871" s="39"/>
    </row>
    <row r="872" spans="7:7" ht="13.2">
      <c r="G872" s="39"/>
    </row>
    <row r="873" spans="7:7" ht="13.2">
      <c r="G873" s="39"/>
    </row>
    <row r="874" spans="7:7" ht="13.2">
      <c r="G874" s="39"/>
    </row>
    <row r="875" spans="7:7" ht="13.2">
      <c r="G875" s="39"/>
    </row>
    <row r="876" spans="7:7" ht="13.2">
      <c r="G876" s="39"/>
    </row>
    <row r="877" spans="7:7" ht="13.2">
      <c r="G877" s="39"/>
    </row>
    <row r="878" spans="7:7" ht="13.2">
      <c r="G878" s="39"/>
    </row>
    <row r="879" spans="7:7" ht="13.2">
      <c r="G879" s="39"/>
    </row>
    <row r="880" spans="7:7" ht="13.2">
      <c r="G880" s="39"/>
    </row>
    <row r="881" spans="7:7" ht="13.2">
      <c r="G881" s="39"/>
    </row>
    <row r="882" spans="7:7" ht="13.2">
      <c r="G882" s="39"/>
    </row>
    <row r="883" spans="7:7" ht="13.2">
      <c r="G883" s="39"/>
    </row>
    <row r="884" spans="7:7" ht="13.2">
      <c r="G884" s="39"/>
    </row>
    <row r="885" spans="7:7" ht="13.2">
      <c r="G885" s="39"/>
    </row>
    <row r="886" spans="7:7" ht="13.2">
      <c r="G886" s="39"/>
    </row>
    <row r="887" spans="7:7" ht="13.2">
      <c r="G887" s="39"/>
    </row>
    <row r="888" spans="7:7" ht="13.2">
      <c r="G888" s="39"/>
    </row>
    <row r="889" spans="7:7" ht="13.2">
      <c r="G889" s="39"/>
    </row>
    <row r="890" spans="7:7" ht="13.2">
      <c r="G890" s="39"/>
    </row>
    <row r="891" spans="7:7" ht="13.2">
      <c r="G891" s="39"/>
    </row>
    <row r="892" spans="7:7" ht="13.2">
      <c r="G892" s="39"/>
    </row>
    <row r="893" spans="7:7" ht="13.2">
      <c r="G893" s="39"/>
    </row>
    <row r="894" spans="7:7" ht="13.2">
      <c r="G894" s="39"/>
    </row>
    <row r="895" spans="7:7" ht="13.2">
      <c r="G895" s="39"/>
    </row>
    <row r="896" spans="7:7" ht="13.2">
      <c r="G896" s="39"/>
    </row>
    <row r="897" spans="7:7" ht="13.2">
      <c r="G897" s="39"/>
    </row>
    <row r="898" spans="7:7" ht="13.2">
      <c r="G898" s="39"/>
    </row>
    <row r="899" spans="7:7" ht="13.2">
      <c r="G899" s="39"/>
    </row>
    <row r="900" spans="7:7" ht="13.2">
      <c r="G900" s="39"/>
    </row>
    <row r="901" spans="7:7" ht="13.2">
      <c r="G901" s="39"/>
    </row>
    <row r="902" spans="7:7" ht="13.2">
      <c r="G902" s="39"/>
    </row>
    <row r="903" spans="7:7" ht="13.2">
      <c r="G903" s="39"/>
    </row>
    <row r="904" spans="7:7" ht="13.2">
      <c r="G904" s="39"/>
    </row>
    <row r="905" spans="7:7" ht="13.2">
      <c r="G905" s="39"/>
    </row>
    <row r="906" spans="7:7" ht="13.2">
      <c r="G906" s="39"/>
    </row>
    <row r="907" spans="7:7" ht="13.2">
      <c r="G907" s="39"/>
    </row>
    <row r="908" spans="7:7" ht="13.2">
      <c r="G908" s="39"/>
    </row>
    <row r="909" spans="7:7" ht="13.2">
      <c r="G909" s="39"/>
    </row>
    <row r="910" spans="7:7" ht="13.2">
      <c r="G910" s="39"/>
    </row>
    <row r="911" spans="7:7" ht="13.2">
      <c r="G911" s="39"/>
    </row>
    <row r="912" spans="7:7" ht="13.2">
      <c r="G912" s="39"/>
    </row>
    <row r="913" spans="7:7" ht="13.2">
      <c r="G913" s="39"/>
    </row>
    <row r="914" spans="7:7" ht="13.2">
      <c r="G914" s="39"/>
    </row>
    <row r="915" spans="7:7" ht="13.2">
      <c r="G915" s="39"/>
    </row>
    <row r="916" spans="7:7" ht="13.2">
      <c r="G916" s="39"/>
    </row>
    <row r="917" spans="7:7" ht="13.2">
      <c r="G917" s="39"/>
    </row>
    <row r="918" spans="7:7" ht="13.2">
      <c r="G918" s="39"/>
    </row>
    <row r="919" spans="7:7" ht="13.2">
      <c r="G919" s="39"/>
    </row>
    <row r="920" spans="7:7" ht="13.2">
      <c r="G920" s="39"/>
    </row>
    <row r="921" spans="7:7" ht="13.2">
      <c r="G921" s="39"/>
    </row>
    <row r="922" spans="7:7" ht="13.2">
      <c r="G922" s="39"/>
    </row>
    <row r="923" spans="7:7" ht="13.2">
      <c r="G923" s="39"/>
    </row>
    <row r="924" spans="7:7" ht="13.2">
      <c r="G924" s="39"/>
    </row>
    <row r="925" spans="7:7" ht="13.2">
      <c r="G925" s="39"/>
    </row>
    <row r="926" spans="7:7" ht="13.2">
      <c r="G926" s="39"/>
    </row>
    <row r="927" spans="7:7" ht="13.2">
      <c r="G927" s="39"/>
    </row>
    <row r="928" spans="7:7" ht="13.2">
      <c r="G928" s="39"/>
    </row>
    <row r="929" spans="7:7" ht="13.2">
      <c r="G929" s="39"/>
    </row>
    <row r="930" spans="7:7" ht="13.2">
      <c r="G930" s="39"/>
    </row>
    <row r="931" spans="7:7" ht="13.2">
      <c r="G931" s="39"/>
    </row>
    <row r="932" spans="7:7" ht="13.2">
      <c r="G932" s="39"/>
    </row>
    <row r="933" spans="7:7" ht="13.2">
      <c r="G933" s="39"/>
    </row>
    <row r="934" spans="7:7" ht="13.2">
      <c r="G934" s="39"/>
    </row>
    <row r="935" spans="7:7" ht="13.2">
      <c r="G935" s="39"/>
    </row>
    <row r="936" spans="7:7" ht="13.2">
      <c r="G936" s="39"/>
    </row>
    <row r="937" spans="7:7" ht="13.2">
      <c r="G937" s="39"/>
    </row>
    <row r="938" spans="7:7" ht="13.2">
      <c r="G938" s="39"/>
    </row>
    <row r="939" spans="7:7" ht="13.2">
      <c r="G939" s="39"/>
    </row>
    <row r="940" spans="7:7" ht="13.2">
      <c r="G940" s="39"/>
    </row>
    <row r="941" spans="7:7" ht="13.2">
      <c r="G941" s="39"/>
    </row>
    <row r="942" spans="7:7" ht="13.2">
      <c r="G942" s="39"/>
    </row>
    <row r="943" spans="7:7" ht="13.2">
      <c r="G943" s="39"/>
    </row>
    <row r="944" spans="7:7" ht="13.2">
      <c r="G944" s="39"/>
    </row>
    <row r="945" spans="7:7" ht="13.2">
      <c r="G945" s="39"/>
    </row>
    <row r="946" spans="7:7" ht="13.2">
      <c r="G946" s="39"/>
    </row>
    <row r="947" spans="7:7" ht="13.2">
      <c r="G947" s="39"/>
    </row>
    <row r="948" spans="7:7" ht="13.2">
      <c r="G948" s="39"/>
    </row>
    <row r="949" spans="7:7" ht="13.2">
      <c r="G949" s="39"/>
    </row>
    <row r="950" spans="7:7" ht="13.2">
      <c r="G950" s="39"/>
    </row>
    <row r="951" spans="7:7" ht="13.2">
      <c r="G951" s="39"/>
    </row>
    <row r="952" spans="7:7" ht="13.2">
      <c r="G952" s="39"/>
    </row>
    <row r="953" spans="7:7" ht="13.2">
      <c r="G953" s="39"/>
    </row>
    <row r="954" spans="7:7" ht="13.2">
      <c r="G954" s="39"/>
    </row>
    <row r="955" spans="7:7" ht="13.2">
      <c r="G955" s="39"/>
    </row>
    <row r="956" spans="7:7" ht="13.2">
      <c r="G956" s="39"/>
    </row>
    <row r="957" spans="7:7" ht="13.2">
      <c r="G957" s="39"/>
    </row>
    <row r="958" spans="7:7" ht="13.2">
      <c r="G958" s="39"/>
    </row>
    <row r="959" spans="7:7" ht="13.2">
      <c r="G959" s="39"/>
    </row>
    <row r="960" spans="7:7" ht="13.2">
      <c r="G960" s="39"/>
    </row>
    <row r="961" spans="7:7" ht="13.2">
      <c r="G961" s="39"/>
    </row>
    <row r="962" spans="7:7" ht="13.2">
      <c r="G962" s="39"/>
    </row>
    <row r="963" spans="7:7" ht="13.2">
      <c r="G963" s="39"/>
    </row>
    <row r="964" spans="7:7" ht="13.2">
      <c r="G964" s="39"/>
    </row>
    <row r="965" spans="7:7" ht="13.2">
      <c r="G965" s="39"/>
    </row>
    <row r="966" spans="7:7" ht="13.2">
      <c r="G966" s="39"/>
    </row>
    <row r="967" spans="7:7" ht="13.2">
      <c r="G967" s="39"/>
    </row>
    <row r="968" spans="7:7" ht="13.2">
      <c r="G968" s="39"/>
    </row>
    <row r="969" spans="7:7" ht="13.2">
      <c r="G969" s="39"/>
    </row>
    <row r="970" spans="7:7" ht="13.2">
      <c r="G970" s="39"/>
    </row>
    <row r="971" spans="7:7" ht="13.2">
      <c r="G971" s="39"/>
    </row>
    <row r="972" spans="7:7" ht="13.2">
      <c r="G972" s="39"/>
    </row>
    <row r="973" spans="7:7" ht="13.2">
      <c r="G973" s="39"/>
    </row>
    <row r="974" spans="7:7" ht="13.2">
      <c r="G974" s="39"/>
    </row>
    <row r="975" spans="7:7" ht="13.2">
      <c r="G975" s="39"/>
    </row>
    <row r="976" spans="7:7" ht="13.2">
      <c r="G976" s="39"/>
    </row>
    <row r="977" spans="7:7" ht="13.2">
      <c r="G977" s="39"/>
    </row>
    <row r="978" spans="7:7" ht="13.2">
      <c r="G978" s="39"/>
    </row>
    <row r="979" spans="7:7" ht="13.2">
      <c r="G979" s="39"/>
    </row>
    <row r="980" spans="7:7" ht="13.2">
      <c r="G980" s="39"/>
    </row>
    <row r="981" spans="7:7" ht="13.2">
      <c r="G981" s="39"/>
    </row>
    <row r="982" spans="7:7" ht="13.2">
      <c r="G982" s="39"/>
    </row>
    <row r="983" spans="7:7" ht="13.2">
      <c r="G983" s="39"/>
    </row>
    <row r="984" spans="7:7" ht="13.2">
      <c r="G984" s="39"/>
    </row>
    <row r="985" spans="7:7" ht="13.2">
      <c r="G985" s="39"/>
    </row>
    <row r="986" spans="7:7" ht="13.2">
      <c r="G986" s="39"/>
    </row>
    <row r="987" spans="7:7" ht="13.2">
      <c r="G987" s="39"/>
    </row>
    <row r="988" spans="7:7" ht="13.2">
      <c r="G988" s="39"/>
    </row>
    <row r="989" spans="7:7" ht="13.2">
      <c r="G989" s="39"/>
    </row>
    <row r="990" spans="7:7" ht="13.2">
      <c r="G990" s="39"/>
    </row>
    <row r="991" spans="7:7" ht="13.2">
      <c r="G991" s="39"/>
    </row>
    <row r="992" spans="7:7" ht="13.2">
      <c r="G992" s="39"/>
    </row>
    <row r="993" spans="7:7" ht="13.2">
      <c r="G993" s="39"/>
    </row>
    <row r="994" spans="7:7" ht="13.2">
      <c r="G994" s="39"/>
    </row>
    <row r="995" spans="7:7" ht="13.2">
      <c r="G995" s="39"/>
    </row>
    <row r="996" spans="7:7" ht="13.2">
      <c r="G996" s="39"/>
    </row>
    <row r="997" spans="7:7" ht="13.2">
      <c r="G997" s="39"/>
    </row>
    <row r="998" spans="7:7" ht="13.2">
      <c r="G998" s="39"/>
    </row>
    <row r="999" spans="7:7" ht="13.2">
      <c r="G999" s="39"/>
    </row>
    <row r="1000" spans="7:7" ht="13.2">
      <c r="G1000" s="39"/>
    </row>
  </sheetData>
  <conditionalFormatting sqref="B3">
    <cfRule type="colorScale" priority="1">
      <colorScale>
        <cfvo type="min"/>
        <cfvo type="max"/>
        <color rgb="FF57BB8A"/>
        <color rgb="FFFFFFFF"/>
      </colorScale>
    </cfRule>
  </conditionalFormatting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33203125" defaultRowHeight="15" customHeight="1"/>
  <sheetData/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/>
  <cols>
    <col min="1" max="1" width="6.44140625" customWidth="1"/>
    <col min="2" max="2" width="5.44140625" customWidth="1"/>
    <col min="3" max="3" width="6.44140625" customWidth="1"/>
    <col min="4" max="4" width="7.109375" customWidth="1"/>
    <col min="5" max="5" width="8" customWidth="1"/>
    <col min="6" max="6" width="20.44140625" customWidth="1"/>
    <col min="7" max="7" width="20.109375" customWidth="1"/>
    <col min="8" max="8" width="52.6640625" customWidth="1"/>
    <col min="9" max="9" width="9.6640625" customWidth="1"/>
    <col min="10" max="10" width="19.44140625" customWidth="1"/>
    <col min="11" max="11" width="7.44140625" customWidth="1"/>
    <col min="12" max="12" width="8.44140625" customWidth="1"/>
    <col min="13" max="13" width="9.6640625" customWidth="1"/>
    <col min="14" max="14" width="13.109375" customWidth="1"/>
    <col min="15" max="15" width="21.6640625" customWidth="1"/>
    <col min="16" max="16" width="20.6640625" customWidth="1"/>
    <col min="17" max="17" width="13.77734375" customWidth="1"/>
    <col min="18" max="18" width="25" customWidth="1"/>
    <col min="19" max="19" width="15.6640625" customWidth="1"/>
    <col min="20" max="26" width="13.44140625" customWidth="1"/>
  </cols>
  <sheetData>
    <row r="1" spans="1:26" ht="16.5" customHeight="1">
      <c r="A1" s="2" t="s">
        <v>18</v>
      </c>
      <c r="B1" s="3"/>
      <c r="C1" s="4"/>
      <c r="D1" s="5"/>
      <c r="E1" s="2"/>
      <c r="F1" s="6"/>
      <c r="G1" s="3"/>
      <c r="H1" s="9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5"/>
      <c r="Y1" s="15"/>
      <c r="Z1" s="15"/>
    </row>
    <row r="2" spans="1:26" ht="73.5" customHeight="1">
      <c r="A2" s="14" t="s">
        <v>193</v>
      </c>
      <c r="B2" s="14" t="s">
        <v>205</v>
      </c>
      <c r="C2" s="14" t="s">
        <v>207</v>
      </c>
      <c r="D2" s="16" t="s">
        <v>208</v>
      </c>
      <c r="E2" s="16" t="s">
        <v>221</v>
      </c>
      <c r="F2" s="16" t="s">
        <v>222</v>
      </c>
      <c r="G2" s="16" t="s">
        <v>223</v>
      </c>
      <c r="H2" s="18" t="s">
        <v>227</v>
      </c>
      <c r="I2" s="19" t="s">
        <v>246</v>
      </c>
      <c r="J2" s="19" t="s">
        <v>258</v>
      </c>
      <c r="K2" s="19" t="s">
        <v>260</v>
      </c>
      <c r="L2" s="21" t="s">
        <v>261</v>
      </c>
      <c r="M2" s="21" t="s">
        <v>322</v>
      </c>
      <c r="N2" s="21" t="s">
        <v>324</v>
      </c>
      <c r="O2" s="22" t="s">
        <v>325</v>
      </c>
      <c r="P2" s="22" t="s">
        <v>334</v>
      </c>
      <c r="Q2" s="22" t="s">
        <v>335</v>
      </c>
      <c r="R2" s="22" t="s">
        <v>336</v>
      </c>
      <c r="S2" s="23" t="s">
        <v>337</v>
      </c>
      <c r="T2" s="25"/>
      <c r="U2" s="25"/>
      <c r="V2" s="25"/>
      <c r="W2" s="25"/>
      <c r="X2" s="25"/>
      <c r="Y2" s="25"/>
      <c r="Z2" s="25"/>
    </row>
    <row r="3" spans="1:26" ht="22.5" customHeight="1">
      <c r="A3" s="26">
        <v>2</v>
      </c>
      <c r="B3" s="26" t="s">
        <v>398</v>
      </c>
      <c r="C3" s="26">
        <v>21</v>
      </c>
      <c r="D3" s="29" t="s">
        <v>400</v>
      </c>
      <c r="E3" s="31">
        <v>214</v>
      </c>
      <c r="F3" s="31" t="s">
        <v>446</v>
      </c>
      <c r="G3" s="32" t="s">
        <v>448</v>
      </c>
      <c r="H3" s="33" t="s">
        <v>458</v>
      </c>
      <c r="I3" s="29" t="s">
        <v>465</v>
      </c>
      <c r="J3" s="35" t="s">
        <v>467</v>
      </c>
      <c r="K3" s="37"/>
      <c r="L3" s="48"/>
      <c r="M3" s="48"/>
      <c r="N3" s="48"/>
      <c r="O3" s="42" t="s">
        <v>800</v>
      </c>
      <c r="P3" s="42" t="s">
        <v>802</v>
      </c>
      <c r="Q3" s="64" t="s">
        <v>804</v>
      </c>
      <c r="R3" s="31"/>
      <c r="S3" s="44"/>
      <c r="T3" s="15"/>
      <c r="U3" s="15"/>
      <c r="V3" s="15"/>
      <c r="W3" s="15"/>
      <c r="X3" s="15"/>
      <c r="Y3" s="15"/>
      <c r="Z3" s="15"/>
    </row>
    <row r="4" spans="1:26" ht="22.5" customHeight="1">
      <c r="A4" s="26">
        <v>2</v>
      </c>
      <c r="B4" s="26" t="s">
        <v>398</v>
      </c>
      <c r="C4" s="26">
        <v>21</v>
      </c>
      <c r="D4" s="29" t="s">
        <v>400</v>
      </c>
      <c r="E4" s="31">
        <v>214</v>
      </c>
      <c r="F4" s="31" t="s">
        <v>446</v>
      </c>
      <c r="G4" s="32" t="s">
        <v>448</v>
      </c>
      <c r="H4" s="33" t="s">
        <v>812</v>
      </c>
      <c r="I4" s="29" t="s">
        <v>813</v>
      </c>
      <c r="J4" s="35" t="s">
        <v>814</v>
      </c>
      <c r="K4" s="37"/>
      <c r="L4" s="48"/>
      <c r="M4" s="48"/>
      <c r="N4" s="48"/>
      <c r="O4" s="42" t="s">
        <v>815</v>
      </c>
      <c r="P4" s="42" t="s">
        <v>816</v>
      </c>
      <c r="Q4" s="64" t="s">
        <v>818</v>
      </c>
      <c r="R4" s="38"/>
      <c r="S4" s="44"/>
      <c r="T4" s="15"/>
      <c r="U4" s="15"/>
      <c r="V4" s="15"/>
      <c r="W4" s="15"/>
      <c r="X4" s="15"/>
      <c r="Y4" s="15"/>
      <c r="Z4" s="15"/>
    </row>
    <row r="5" spans="1:26" ht="22.5" customHeight="1">
      <c r="A5" s="26">
        <v>2</v>
      </c>
      <c r="B5" s="26" t="s">
        <v>398</v>
      </c>
      <c r="C5" s="26">
        <v>21</v>
      </c>
      <c r="D5" s="29" t="s">
        <v>400</v>
      </c>
      <c r="E5" s="31">
        <v>214</v>
      </c>
      <c r="F5" s="31" t="s">
        <v>446</v>
      </c>
      <c r="G5" s="32" t="s">
        <v>448</v>
      </c>
      <c r="H5" s="66" t="s">
        <v>825</v>
      </c>
      <c r="I5" s="29" t="s">
        <v>465</v>
      </c>
      <c r="J5" s="35" t="s">
        <v>467</v>
      </c>
      <c r="K5" s="37"/>
      <c r="L5" s="48"/>
      <c r="M5" s="48"/>
      <c r="N5" s="48"/>
      <c r="O5" s="42" t="s">
        <v>800</v>
      </c>
      <c r="P5" s="64"/>
      <c r="Q5" s="64"/>
      <c r="R5" s="31"/>
      <c r="S5" s="44"/>
      <c r="T5" s="15"/>
      <c r="U5" s="15"/>
      <c r="V5" s="15"/>
      <c r="W5" s="15"/>
      <c r="X5" s="15"/>
      <c r="Y5" s="15"/>
      <c r="Z5" s="15"/>
    </row>
    <row r="6" spans="1:26" ht="22.5" customHeight="1">
      <c r="A6" s="26">
        <v>2</v>
      </c>
      <c r="B6" s="26" t="s">
        <v>398</v>
      </c>
      <c r="C6" s="26">
        <v>21</v>
      </c>
      <c r="D6" s="29" t="s">
        <v>400</v>
      </c>
      <c r="E6" s="31">
        <v>215</v>
      </c>
      <c r="F6" s="31" t="s">
        <v>831</v>
      </c>
      <c r="G6" s="32" t="s">
        <v>832</v>
      </c>
      <c r="H6" s="33" t="s">
        <v>833</v>
      </c>
      <c r="I6" s="29" t="s">
        <v>834</v>
      </c>
      <c r="J6" s="61" t="s">
        <v>835</v>
      </c>
      <c r="K6" s="42"/>
      <c r="L6" s="42" t="s">
        <v>633</v>
      </c>
      <c r="M6" s="38" t="s">
        <v>635</v>
      </c>
      <c r="N6" s="52" t="s">
        <v>636</v>
      </c>
      <c r="O6" s="42" t="s">
        <v>839</v>
      </c>
      <c r="P6" s="42" t="s">
        <v>841</v>
      </c>
      <c r="Q6" s="42" t="s">
        <v>843</v>
      </c>
      <c r="R6" s="31"/>
      <c r="S6" s="44"/>
      <c r="T6" s="15"/>
      <c r="U6" s="15"/>
      <c r="V6" s="15"/>
      <c r="W6" s="15"/>
      <c r="X6" s="15"/>
      <c r="Y6" s="15"/>
      <c r="Z6" s="15"/>
    </row>
    <row r="7" spans="1:26" ht="22.5" customHeight="1">
      <c r="A7" s="26">
        <v>2</v>
      </c>
      <c r="B7" s="26" t="s">
        <v>398</v>
      </c>
      <c r="C7" s="26">
        <v>21</v>
      </c>
      <c r="D7" s="29" t="s">
        <v>400</v>
      </c>
      <c r="E7" s="31">
        <v>215</v>
      </c>
      <c r="F7" s="31" t="s">
        <v>831</v>
      </c>
      <c r="G7" s="32" t="s">
        <v>832</v>
      </c>
      <c r="H7" s="33" t="s">
        <v>848</v>
      </c>
      <c r="I7" s="40"/>
      <c r="J7" s="42" t="s">
        <v>849</v>
      </c>
      <c r="K7" s="42"/>
      <c r="L7" s="42" t="s">
        <v>850</v>
      </c>
      <c r="M7" s="38" t="s">
        <v>851</v>
      </c>
      <c r="N7" s="52" t="s">
        <v>852</v>
      </c>
      <c r="O7" s="42" t="s">
        <v>853</v>
      </c>
      <c r="P7" s="42" t="s">
        <v>854</v>
      </c>
      <c r="Q7" s="42" t="s">
        <v>855</v>
      </c>
      <c r="R7" s="31"/>
      <c r="S7" s="44"/>
      <c r="T7" s="15"/>
      <c r="U7" s="15"/>
      <c r="V7" s="15"/>
      <c r="W7" s="15"/>
      <c r="X7" s="15"/>
      <c r="Y7" s="15"/>
      <c r="Z7" s="15"/>
    </row>
    <row r="8" spans="1:26" ht="22.5" customHeight="1">
      <c r="A8" s="26">
        <v>2</v>
      </c>
      <c r="B8" s="26" t="s">
        <v>398</v>
      </c>
      <c r="C8" s="26">
        <v>21</v>
      </c>
      <c r="D8" s="29" t="s">
        <v>400</v>
      </c>
      <c r="E8" s="31">
        <v>215</v>
      </c>
      <c r="F8" s="31" t="s">
        <v>831</v>
      </c>
      <c r="G8" s="32" t="s">
        <v>832</v>
      </c>
      <c r="H8" s="33" t="s">
        <v>857</v>
      </c>
      <c r="I8" s="40"/>
      <c r="J8" s="42" t="s">
        <v>858</v>
      </c>
      <c r="K8" s="42"/>
      <c r="L8" s="42" t="s">
        <v>859</v>
      </c>
      <c r="M8" s="38" t="s">
        <v>857</v>
      </c>
      <c r="N8" s="29"/>
      <c r="O8" s="42" t="s">
        <v>853</v>
      </c>
      <c r="P8" s="42" t="s">
        <v>854</v>
      </c>
      <c r="Q8" s="42" t="s">
        <v>861</v>
      </c>
      <c r="R8" s="31"/>
      <c r="S8" s="44"/>
      <c r="T8" s="15"/>
      <c r="U8" s="15"/>
      <c r="V8" s="15"/>
      <c r="W8" s="15"/>
      <c r="X8" s="15"/>
      <c r="Y8" s="15"/>
      <c r="Z8" s="15"/>
    </row>
    <row r="9" spans="1:26" ht="22.5" customHeight="1">
      <c r="A9" s="26">
        <v>2</v>
      </c>
      <c r="B9" s="26" t="s">
        <v>398</v>
      </c>
      <c r="C9" s="26">
        <v>21</v>
      </c>
      <c r="D9" s="29" t="s">
        <v>400</v>
      </c>
      <c r="E9" s="31">
        <v>215</v>
      </c>
      <c r="F9" s="31" t="s">
        <v>831</v>
      </c>
      <c r="G9" s="32" t="s">
        <v>832</v>
      </c>
      <c r="H9" s="33" t="s">
        <v>904</v>
      </c>
      <c r="I9" s="40"/>
      <c r="J9" s="42" t="s">
        <v>905</v>
      </c>
      <c r="K9" s="42"/>
      <c r="L9" s="42" t="s">
        <v>906</v>
      </c>
      <c r="M9" s="38" t="s">
        <v>907</v>
      </c>
      <c r="N9" s="52" t="s">
        <v>909</v>
      </c>
      <c r="O9" s="42" t="s">
        <v>815</v>
      </c>
      <c r="P9" s="42"/>
      <c r="Q9" s="42"/>
      <c r="R9" s="31"/>
      <c r="S9" s="44"/>
      <c r="T9" s="15"/>
      <c r="U9" s="15"/>
      <c r="V9" s="15"/>
      <c r="W9" s="15"/>
      <c r="X9" s="15"/>
      <c r="Y9" s="15"/>
      <c r="Z9" s="15"/>
    </row>
    <row r="10" spans="1:26" ht="22.5" customHeight="1">
      <c r="A10" s="26">
        <v>2</v>
      </c>
      <c r="B10" s="26" t="s">
        <v>398</v>
      </c>
      <c r="C10" s="26">
        <v>21</v>
      </c>
      <c r="D10" s="29" t="s">
        <v>400</v>
      </c>
      <c r="E10" s="31">
        <v>216</v>
      </c>
      <c r="F10" s="31" t="s">
        <v>914</v>
      </c>
      <c r="G10" s="56" t="s">
        <v>915</v>
      </c>
      <c r="H10" s="33" t="s">
        <v>918</v>
      </c>
      <c r="I10" s="40" t="s">
        <v>920</v>
      </c>
      <c r="J10" s="42" t="s">
        <v>922</v>
      </c>
      <c r="K10" s="42"/>
      <c r="L10" s="42" t="s">
        <v>906</v>
      </c>
      <c r="M10" s="38" t="s">
        <v>907</v>
      </c>
      <c r="N10" s="52" t="s">
        <v>909</v>
      </c>
      <c r="O10" s="70" t="s">
        <v>928</v>
      </c>
      <c r="P10" s="42" t="s">
        <v>973</v>
      </c>
      <c r="Q10" s="42" t="s">
        <v>975</v>
      </c>
      <c r="R10" s="31"/>
      <c r="S10" s="44"/>
      <c r="T10" s="15"/>
      <c r="U10" s="15"/>
      <c r="V10" s="15"/>
      <c r="W10" s="15"/>
      <c r="X10" s="15"/>
      <c r="Y10" s="15"/>
      <c r="Z10" s="15"/>
    </row>
    <row r="11" spans="1:26" ht="22.5" customHeight="1">
      <c r="A11" s="26">
        <v>2</v>
      </c>
      <c r="B11" s="26" t="s">
        <v>398</v>
      </c>
      <c r="C11" s="26">
        <v>21</v>
      </c>
      <c r="D11" s="29" t="s">
        <v>400</v>
      </c>
      <c r="E11" s="31">
        <v>216</v>
      </c>
      <c r="F11" s="31" t="s">
        <v>914</v>
      </c>
      <c r="G11" s="56" t="s">
        <v>915</v>
      </c>
      <c r="H11" s="33" t="s">
        <v>989</v>
      </c>
      <c r="I11" s="40" t="s">
        <v>990</v>
      </c>
      <c r="J11" s="61" t="s">
        <v>991</v>
      </c>
      <c r="K11" s="42"/>
      <c r="L11" s="42" t="s">
        <v>906</v>
      </c>
      <c r="M11" s="38" t="s">
        <v>907</v>
      </c>
      <c r="N11" s="52" t="s">
        <v>909</v>
      </c>
      <c r="O11" s="42" t="s">
        <v>853</v>
      </c>
      <c r="P11" s="42" t="s">
        <v>854</v>
      </c>
      <c r="Q11" s="42" t="s">
        <v>993</v>
      </c>
      <c r="R11" s="31"/>
      <c r="S11" s="44"/>
      <c r="T11" s="15"/>
      <c r="U11" s="15"/>
      <c r="V11" s="15"/>
      <c r="W11" s="15"/>
      <c r="X11" s="15"/>
      <c r="Y11" s="15"/>
      <c r="Z11" s="15"/>
    </row>
    <row r="12" spans="1:26" ht="22.5" customHeight="1">
      <c r="A12" s="26">
        <v>2</v>
      </c>
      <c r="B12" s="26" t="s">
        <v>398</v>
      </c>
      <c r="C12" s="26">
        <v>21</v>
      </c>
      <c r="D12" s="29" t="s">
        <v>400</v>
      </c>
      <c r="E12" s="31">
        <v>216</v>
      </c>
      <c r="F12" s="31" t="s">
        <v>914</v>
      </c>
      <c r="G12" s="56" t="s">
        <v>915</v>
      </c>
      <c r="H12" s="33" t="s">
        <v>994</v>
      </c>
      <c r="I12" s="40" t="s">
        <v>995</v>
      </c>
      <c r="J12" s="61" t="s">
        <v>1009</v>
      </c>
      <c r="K12" s="42"/>
      <c r="L12" s="42" t="s">
        <v>906</v>
      </c>
      <c r="M12" s="38" t="s">
        <v>907</v>
      </c>
      <c r="N12" s="52" t="s">
        <v>909</v>
      </c>
      <c r="O12" s="42" t="s">
        <v>853</v>
      </c>
      <c r="P12" s="42" t="s">
        <v>854</v>
      </c>
      <c r="Q12" s="42" t="s">
        <v>1019</v>
      </c>
      <c r="R12" s="31"/>
      <c r="S12" s="44"/>
      <c r="T12" s="15"/>
      <c r="U12" s="15"/>
      <c r="V12" s="15"/>
      <c r="W12" s="15"/>
      <c r="X12" s="15"/>
      <c r="Y12" s="15"/>
      <c r="Z12" s="15"/>
    </row>
    <row r="13" spans="1:26" ht="22.5" customHeight="1">
      <c r="A13" s="26">
        <v>2</v>
      </c>
      <c r="B13" s="26" t="s">
        <v>398</v>
      </c>
      <c r="C13" s="26">
        <v>21</v>
      </c>
      <c r="D13" s="29" t="s">
        <v>400</v>
      </c>
      <c r="E13" s="31">
        <v>218</v>
      </c>
      <c r="F13" s="31" t="s">
        <v>1021</v>
      </c>
      <c r="G13" s="56" t="s">
        <v>1023</v>
      </c>
      <c r="H13" s="59" t="s">
        <v>1024</v>
      </c>
      <c r="I13" s="40" t="s">
        <v>1025</v>
      </c>
      <c r="J13" s="61" t="s">
        <v>1026</v>
      </c>
      <c r="K13" s="42"/>
      <c r="L13" s="42" t="s">
        <v>1027</v>
      </c>
      <c r="M13" s="38" t="s">
        <v>1032</v>
      </c>
      <c r="N13" s="52" t="s">
        <v>1033</v>
      </c>
      <c r="O13" s="42" t="s">
        <v>1034</v>
      </c>
      <c r="P13" s="42" t="s">
        <v>1035</v>
      </c>
      <c r="Q13" s="42" t="s">
        <v>1037</v>
      </c>
      <c r="R13" s="31"/>
      <c r="S13" s="44"/>
      <c r="T13" s="15"/>
      <c r="U13" s="15"/>
      <c r="V13" s="15"/>
      <c r="W13" s="15"/>
      <c r="X13" s="15"/>
      <c r="Y13" s="15"/>
      <c r="Z13" s="15"/>
    </row>
    <row r="14" spans="1:26" ht="22.5" customHeight="1">
      <c r="A14" s="26">
        <v>2</v>
      </c>
      <c r="B14" s="26" t="s">
        <v>398</v>
      </c>
      <c r="C14" s="26">
        <v>21</v>
      </c>
      <c r="D14" s="29" t="s">
        <v>400</v>
      </c>
      <c r="E14" s="31">
        <v>218</v>
      </c>
      <c r="F14" s="31" t="s">
        <v>1021</v>
      </c>
      <c r="G14" s="56" t="s">
        <v>1023</v>
      </c>
      <c r="H14" s="33" t="s">
        <v>1038</v>
      </c>
      <c r="I14" s="29" t="s">
        <v>1038</v>
      </c>
      <c r="J14" s="42" t="s">
        <v>1041</v>
      </c>
      <c r="K14" s="42"/>
      <c r="L14" s="42" t="s">
        <v>906</v>
      </c>
      <c r="M14" s="38" t="s">
        <v>907</v>
      </c>
      <c r="N14" s="52" t="s">
        <v>909</v>
      </c>
      <c r="O14" s="42" t="s">
        <v>853</v>
      </c>
      <c r="P14" s="42" t="s">
        <v>854</v>
      </c>
      <c r="Q14" s="42" t="s">
        <v>1019</v>
      </c>
      <c r="R14" s="31"/>
      <c r="S14" s="44"/>
      <c r="T14" s="15"/>
      <c r="U14" s="15"/>
      <c r="V14" s="15"/>
      <c r="W14" s="15"/>
      <c r="X14" s="15"/>
      <c r="Y14" s="15"/>
      <c r="Z14" s="15"/>
    </row>
    <row r="15" spans="1:26" ht="22.5" customHeight="1">
      <c r="A15" s="26">
        <v>2</v>
      </c>
      <c r="B15" s="26" t="s">
        <v>398</v>
      </c>
      <c r="C15" s="26">
        <v>21</v>
      </c>
      <c r="D15" s="29" t="s">
        <v>400</v>
      </c>
      <c r="E15" s="31">
        <v>218</v>
      </c>
      <c r="F15" s="31" t="s">
        <v>1021</v>
      </c>
      <c r="G15" s="56" t="s">
        <v>1023</v>
      </c>
      <c r="H15" s="33" t="s">
        <v>1056</v>
      </c>
      <c r="I15" s="29" t="s">
        <v>1056</v>
      </c>
      <c r="J15" s="42" t="s">
        <v>1057</v>
      </c>
      <c r="K15" s="42"/>
      <c r="L15" s="42" t="s">
        <v>906</v>
      </c>
      <c r="M15" s="38" t="s">
        <v>907</v>
      </c>
      <c r="N15" s="52" t="s">
        <v>909</v>
      </c>
      <c r="O15" s="42" t="s">
        <v>853</v>
      </c>
      <c r="P15" s="42" t="s">
        <v>854</v>
      </c>
      <c r="Q15" s="42" t="s">
        <v>993</v>
      </c>
      <c r="R15" s="31"/>
      <c r="S15" s="44"/>
      <c r="T15" s="15"/>
      <c r="U15" s="15"/>
      <c r="V15" s="15"/>
      <c r="W15" s="15"/>
      <c r="X15" s="15"/>
      <c r="Y15" s="15"/>
      <c r="Z15" s="15"/>
    </row>
    <row r="16" spans="1:26" ht="22.5" customHeight="1">
      <c r="A16" s="26">
        <v>2</v>
      </c>
      <c r="B16" s="26" t="s">
        <v>398</v>
      </c>
      <c r="C16" s="26">
        <v>22</v>
      </c>
      <c r="D16" s="29" t="s">
        <v>1058</v>
      </c>
      <c r="E16" s="31">
        <v>222</v>
      </c>
      <c r="F16" s="31" t="s">
        <v>1059</v>
      </c>
      <c r="G16" s="32" t="s">
        <v>1060</v>
      </c>
      <c r="H16" s="50" t="s">
        <v>1061</v>
      </c>
      <c r="I16" s="40" t="s">
        <v>1061</v>
      </c>
      <c r="J16" s="42" t="s">
        <v>1063</v>
      </c>
      <c r="K16" s="36"/>
      <c r="L16" s="42" t="s">
        <v>1066</v>
      </c>
      <c r="M16" s="38" t="s">
        <v>1068</v>
      </c>
      <c r="N16" s="40" t="s">
        <v>1069</v>
      </c>
      <c r="O16" s="42" t="s">
        <v>1070</v>
      </c>
      <c r="P16" s="42" t="s">
        <v>1071</v>
      </c>
      <c r="Q16" s="42" t="s">
        <v>1072</v>
      </c>
      <c r="R16" s="31"/>
      <c r="S16" s="44"/>
      <c r="T16" s="15"/>
      <c r="U16" s="15"/>
      <c r="V16" s="15"/>
      <c r="W16" s="15"/>
      <c r="X16" s="15"/>
      <c r="Y16" s="15"/>
      <c r="Z16" s="15"/>
    </row>
    <row r="17" spans="1:26" ht="22.5" customHeight="1">
      <c r="A17" s="26">
        <v>2</v>
      </c>
      <c r="B17" s="26" t="s">
        <v>398</v>
      </c>
      <c r="C17" s="26">
        <v>22</v>
      </c>
      <c r="D17" s="29" t="s">
        <v>1058</v>
      </c>
      <c r="E17" s="31">
        <v>222</v>
      </c>
      <c r="F17" s="31" t="s">
        <v>1059</v>
      </c>
      <c r="G17" s="32" t="s">
        <v>1060</v>
      </c>
      <c r="H17" s="50" t="s">
        <v>1068</v>
      </c>
      <c r="I17" s="40" t="s">
        <v>1068</v>
      </c>
      <c r="J17" s="42" t="s">
        <v>1063</v>
      </c>
      <c r="K17" s="36"/>
      <c r="L17" s="42" t="s">
        <v>1066</v>
      </c>
      <c r="M17" s="38" t="s">
        <v>1068</v>
      </c>
      <c r="N17" s="40" t="s">
        <v>1069</v>
      </c>
      <c r="O17" s="42" t="s">
        <v>1070</v>
      </c>
      <c r="P17" s="42" t="s">
        <v>1071</v>
      </c>
      <c r="Q17" s="42" t="s">
        <v>1079</v>
      </c>
      <c r="R17" s="72"/>
      <c r="S17" s="44"/>
      <c r="T17" s="15"/>
      <c r="U17" s="15"/>
      <c r="V17" s="15"/>
      <c r="W17" s="15"/>
      <c r="X17" s="15"/>
      <c r="Y17" s="15"/>
      <c r="Z17" s="15"/>
    </row>
    <row r="18" spans="1:26" ht="22.5" customHeight="1">
      <c r="A18" s="26">
        <v>2</v>
      </c>
      <c r="B18" s="26" t="s">
        <v>398</v>
      </c>
      <c r="C18" s="26">
        <v>22</v>
      </c>
      <c r="D18" s="29" t="s">
        <v>1058</v>
      </c>
      <c r="E18" s="31">
        <v>223</v>
      </c>
      <c r="F18" s="31" t="s">
        <v>1090</v>
      </c>
      <c r="G18" s="32" t="s">
        <v>1092</v>
      </c>
      <c r="H18" s="50" t="s">
        <v>851</v>
      </c>
      <c r="I18" s="40" t="s">
        <v>851</v>
      </c>
      <c r="J18" s="42" t="s">
        <v>1098</v>
      </c>
      <c r="K18" s="36"/>
      <c r="L18" s="42" t="s">
        <v>850</v>
      </c>
      <c r="M18" s="38" t="s">
        <v>851</v>
      </c>
      <c r="N18" s="52" t="s">
        <v>852</v>
      </c>
      <c r="O18" s="42" t="s">
        <v>1100</v>
      </c>
      <c r="P18" s="38"/>
      <c r="Q18" s="42"/>
      <c r="R18" s="31"/>
      <c r="S18" s="44"/>
      <c r="T18" s="15"/>
      <c r="U18" s="15"/>
      <c r="V18" s="15"/>
      <c r="W18" s="15"/>
      <c r="X18" s="15"/>
      <c r="Y18" s="15"/>
      <c r="Z18" s="15"/>
    </row>
    <row r="19" spans="1:26" ht="22.5" customHeight="1">
      <c r="A19" s="134">
        <v>2</v>
      </c>
      <c r="B19" s="134" t="s">
        <v>398</v>
      </c>
      <c r="C19" s="134">
        <v>22</v>
      </c>
      <c r="D19" s="135" t="s">
        <v>1058</v>
      </c>
      <c r="E19" s="126">
        <v>223</v>
      </c>
      <c r="F19" s="126" t="s">
        <v>1090</v>
      </c>
      <c r="G19" s="137" t="s">
        <v>1122</v>
      </c>
      <c r="H19" s="136" t="s">
        <v>1125</v>
      </c>
      <c r="I19" s="129" t="s">
        <v>1127</v>
      </c>
      <c r="J19" s="61" t="s">
        <v>1128</v>
      </c>
      <c r="K19" s="132"/>
      <c r="L19" s="128" t="s">
        <v>1129</v>
      </c>
      <c r="M19" s="141" t="s">
        <v>1131</v>
      </c>
      <c r="N19" s="129" t="s">
        <v>1132</v>
      </c>
      <c r="O19" s="128" t="s">
        <v>1138</v>
      </c>
      <c r="P19" s="128" t="s">
        <v>1143</v>
      </c>
      <c r="Q19" s="128" t="s">
        <v>1144</v>
      </c>
      <c r="R19" s="126"/>
      <c r="S19" s="131"/>
      <c r="T19" s="15"/>
      <c r="U19" s="15"/>
      <c r="V19" s="15"/>
      <c r="W19" s="15"/>
      <c r="X19" s="15"/>
      <c r="Y19" s="15"/>
      <c r="Z19" s="15"/>
    </row>
    <row r="20" spans="1:26" ht="22.5" customHeight="1">
      <c r="A20" s="127"/>
      <c r="B20" s="127"/>
      <c r="C20" s="127"/>
      <c r="D20" s="127"/>
      <c r="E20" s="127"/>
      <c r="F20" s="127"/>
      <c r="G20" s="127"/>
      <c r="H20" s="127"/>
      <c r="I20" s="127"/>
      <c r="J20" s="42" t="s">
        <v>1145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5"/>
      <c r="U20" s="15"/>
      <c r="V20" s="15"/>
      <c r="W20" s="15"/>
      <c r="X20" s="15"/>
      <c r="Y20" s="15"/>
      <c r="Z20" s="15"/>
    </row>
    <row r="21" spans="1:26" ht="22.5" customHeight="1">
      <c r="A21" s="134">
        <v>2</v>
      </c>
      <c r="B21" s="134" t="s">
        <v>398</v>
      </c>
      <c r="C21" s="134">
        <v>22</v>
      </c>
      <c r="D21" s="135" t="s">
        <v>1058</v>
      </c>
      <c r="E21" s="126">
        <v>224</v>
      </c>
      <c r="F21" s="126" t="s">
        <v>1159</v>
      </c>
      <c r="G21" s="137" t="s">
        <v>1122</v>
      </c>
      <c r="H21" s="136" t="s">
        <v>1163</v>
      </c>
      <c r="I21" s="40" t="s">
        <v>1164</v>
      </c>
      <c r="J21" s="128" t="s">
        <v>1165</v>
      </c>
      <c r="K21" s="132"/>
      <c r="L21" s="128" t="s">
        <v>1129</v>
      </c>
      <c r="M21" s="141" t="s">
        <v>1131</v>
      </c>
      <c r="N21" s="129" t="s">
        <v>1132</v>
      </c>
      <c r="O21" s="128" t="s">
        <v>1173</v>
      </c>
      <c r="P21" s="128"/>
      <c r="Q21" s="128"/>
      <c r="R21" s="126"/>
      <c r="S21" s="131"/>
      <c r="T21" s="15"/>
      <c r="U21" s="15"/>
      <c r="V21" s="15"/>
      <c r="W21" s="15"/>
      <c r="X21" s="15"/>
      <c r="Y21" s="15"/>
      <c r="Z21" s="15"/>
    </row>
    <row r="22" spans="1:26" ht="22.5" customHeight="1">
      <c r="A22" s="127"/>
      <c r="B22" s="127"/>
      <c r="C22" s="127"/>
      <c r="D22" s="127"/>
      <c r="E22" s="127"/>
      <c r="F22" s="127"/>
      <c r="G22" s="127"/>
      <c r="H22" s="127"/>
      <c r="I22" s="40" t="s">
        <v>1175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5"/>
      <c r="U22" s="15"/>
      <c r="V22" s="15"/>
      <c r="W22" s="15"/>
      <c r="X22" s="15"/>
      <c r="Y22" s="15"/>
      <c r="Z22" s="15"/>
    </row>
    <row r="23" spans="1:26" ht="22.5" customHeight="1">
      <c r="A23" s="26">
        <v>2</v>
      </c>
      <c r="B23" s="26" t="s">
        <v>398</v>
      </c>
      <c r="C23" s="26">
        <v>22</v>
      </c>
      <c r="D23" s="29" t="s">
        <v>1058</v>
      </c>
      <c r="E23" s="31">
        <v>225</v>
      </c>
      <c r="F23" s="31" t="s">
        <v>1178</v>
      </c>
      <c r="G23" s="56" t="s">
        <v>1179</v>
      </c>
      <c r="H23" s="50" t="s">
        <v>1181</v>
      </c>
      <c r="I23" s="40" t="s">
        <v>1181</v>
      </c>
      <c r="J23" s="61" t="s">
        <v>1184</v>
      </c>
      <c r="K23" s="36"/>
      <c r="L23" s="42" t="s">
        <v>1186</v>
      </c>
      <c r="M23" s="38" t="s">
        <v>1187</v>
      </c>
      <c r="N23" s="52" t="s">
        <v>1188</v>
      </c>
      <c r="O23" s="42" t="s">
        <v>1034</v>
      </c>
      <c r="P23" s="42" t="s">
        <v>1035</v>
      </c>
      <c r="Q23" s="42" t="s">
        <v>1037</v>
      </c>
      <c r="R23" s="31"/>
      <c r="S23" s="44"/>
      <c r="T23" s="15"/>
      <c r="U23" s="15"/>
      <c r="V23" s="15"/>
      <c r="W23" s="15"/>
      <c r="X23" s="15"/>
      <c r="Y23" s="15"/>
      <c r="Z23" s="15"/>
    </row>
    <row r="24" spans="1:26" ht="22.5" customHeight="1">
      <c r="A24" s="26">
        <v>2</v>
      </c>
      <c r="B24" s="26" t="s">
        <v>398</v>
      </c>
      <c r="C24" s="26">
        <v>22</v>
      </c>
      <c r="D24" s="29" t="s">
        <v>1058</v>
      </c>
      <c r="E24" s="31">
        <v>226</v>
      </c>
      <c r="F24" s="31" t="s">
        <v>1189</v>
      </c>
      <c r="G24" s="32" t="s">
        <v>1190</v>
      </c>
      <c r="H24" s="50" t="s">
        <v>1191</v>
      </c>
      <c r="I24" s="40" t="s">
        <v>1191</v>
      </c>
      <c r="J24" s="42" t="s">
        <v>1192</v>
      </c>
      <c r="K24" s="36"/>
      <c r="L24" s="42" t="s">
        <v>1203</v>
      </c>
      <c r="M24" s="38" t="s">
        <v>1204</v>
      </c>
      <c r="N24" s="52" t="s">
        <v>1205</v>
      </c>
      <c r="O24" s="42" t="s">
        <v>1034</v>
      </c>
      <c r="P24" s="42" t="s">
        <v>1035</v>
      </c>
      <c r="Q24" s="42" t="s">
        <v>1214</v>
      </c>
      <c r="R24" s="31"/>
      <c r="S24" s="44"/>
      <c r="T24" s="15"/>
      <c r="U24" s="15"/>
      <c r="V24" s="15"/>
      <c r="W24" s="15"/>
      <c r="X24" s="15"/>
      <c r="Y24" s="15"/>
      <c r="Z24" s="15"/>
    </row>
    <row r="25" spans="1:26" ht="22.5" customHeight="1">
      <c r="A25" s="26">
        <v>2</v>
      </c>
      <c r="B25" s="26" t="s">
        <v>398</v>
      </c>
      <c r="C25" s="26">
        <v>22</v>
      </c>
      <c r="D25" s="29" t="s">
        <v>1058</v>
      </c>
      <c r="E25" s="31">
        <v>228</v>
      </c>
      <c r="F25" s="31" t="s">
        <v>1021</v>
      </c>
      <c r="G25" s="56" t="s">
        <v>1222</v>
      </c>
      <c r="H25" s="66" t="s">
        <v>1223</v>
      </c>
      <c r="I25" s="86" t="s">
        <v>1224</v>
      </c>
      <c r="J25" s="31" t="s">
        <v>1246</v>
      </c>
      <c r="K25" s="36"/>
      <c r="L25" s="31" t="s">
        <v>1248</v>
      </c>
      <c r="M25" s="38" t="s">
        <v>1249</v>
      </c>
      <c r="N25" s="52" t="s">
        <v>1250</v>
      </c>
      <c r="O25" s="42" t="s">
        <v>652</v>
      </c>
      <c r="P25" s="42" t="s">
        <v>1251</v>
      </c>
      <c r="Q25" s="42" t="s">
        <v>768</v>
      </c>
      <c r="R25" s="42"/>
      <c r="S25" s="44"/>
      <c r="T25" s="15"/>
      <c r="U25" s="15"/>
      <c r="V25" s="15"/>
      <c r="W25" s="15"/>
      <c r="X25" s="15"/>
      <c r="Y25" s="15"/>
      <c r="Z25" s="15"/>
    </row>
    <row r="26" spans="1:26" ht="22.5" customHeight="1">
      <c r="A26" s="26">
        <v>2</v>
      </c>
      <c r="B26" s="26" t="s">
        <v>398</v>
      </c>
      <c r="C26" s="26">
        <v>22</v>
      </c>
      <c r="D26" s="29" t="s">
        <v>1058</v>
      </c>
      <c r="E26" s="31">
        <v>228</v>
      </c>
      <c r="F26" s="31" t="s">
        <v>1021</v>
      </c>
      <c r="G26" s="56" t="s">
        <v>1222</v>
      </c>
      <c r="H26" s="50" t="s">
        <v>1264</v>
      </c>
      <c r="I26" s="40" t="s">
        <v>1264</v>
      </c>
      <c r="J26" s="42" t="s">
        <v>1267</v>
      </c>
      <c r="K26" s="36"/>
      <c r="L26" s="42" t="s">
        <v>1248</v>
      </c>
      <c r="M26" s="38" t="s">
        <v>1249</v>
      </c>
      <c r="N26" s="52" t="s">
        <v>1250</v>
      </c>
      <c r="O26" s="42" t="s">
        <v>839</v>
      </c>
      <c r="P26" s="42" t="s">
        <v>841</v>
      </c>
      <c r="Q26" s="42" t="s">
        <v>1270</v>
      </c>
      <c r="R26" s="42"/>
      <c r="S26" s="44"/>
      <c r="T26" s="15"/>
      <c r="U26" s="15"/>
      <c r="V26" s="15"/>
      <c r="W26" s="15"/>
      <c r="X26" s="15"/>
      <c r="Y26" s="15"/>
      <c r="Z26" s="15"/>
    </row>
    <row r="27" spans="1:26" ht="22.5" customHeight="1">
      <c r="A27" s="26">
        <v>2</v>
      </c>
      <c r="B27" s="26" t="s">
        <v>398</v>
      </c>
      <c r="C27" s="26">
        <v>22</v>
      </c>
      <c r="D27" s="29" t="s">
        <v>1058</v>
      </c>
      <c r="E27" s="31">
        <v>228</v>
      </c>
      <c r="F27" s="31" t="s">
        <v>1021</v>
      </c>
      <c r="G27" s="56" t="s">
        <v>1222</v>
      </c>
      <c r="H27" s="88" t="s">
        <v>1291</v>
      </c>
      <c r="I27" s="86" t="s">
        <v>1303</v>
      </c>
      <c r="J27" s="31" t="s">
        <v>1304</v>
      </c>
      <c r="K27" s="36"/>
      <c r="L27" s="42" t="s">
        <v>633</v>
      </c>
      <c r="M27" s="38" t="s">
        <v>635</v>
      </c>
      <c r="N27" s="52" t="s">
        <v>636</v>
      </c>
      <c r="O27" s="42" t="s">
        <v>652</v>
      </c>
      <c r="P27" s="42" t="s">
        <v>1251</v>
      </c>
      <c r="Q27" s="42" t="s">
        <v>707</v>
      </c>
      <c r="R27" s="42"/>
      <c r="S27" s="44"/>
      <c r="T27" s="15"/>
      <c r="U27" s="15"/>
      <c r="V27" s="15"/>
      <c r="W27" s="15"/>
      <c r="X27" s="15"/>
      <c r="Y27" s="15"/>
      <c r="Z27" s="15"/>
    </row>
    <row r="28" spans="1:26" ht="22.5" customHeight="1">
      <c r="A28" s="26">
        <v>2</v>
      </c>
      <c r="B28" s="26" t="s">
        <v>398</v>
      </c>
      <c r="C28" s="26">
        <v>22</v>
      </c>
      <c r="D28" s="29" t="s">
        <v>1058</v>
      </c>
      <c r="E28" s="31">
        <v>228</v>
      </c>
      <c r="F28" s="31" t="s">
        <v>1021</v>
      </c>
      <c r="G28" s="56" t="s">
        <v>1222</v>
      </c>
      <c r="H28" s="66" t="s">
        <v>1313</v>
      </c>
      <c r="I28" s="86" t="s">
        <v>1313</v>
      </c>
      <c r="J28" s="85" t="s">
        <v>1314</v>
      </c>
      <c r="K28" s="36"/>
      <c r="L28" s="42" t="s">
        <v>1027</v>
      </c>
      <c r="M28" s="38" t="s">
        <v>1032</v>
      </c>
      <c r="N28" s="52" t="s">
        <v>1033</v>
      </c>
      <c r="O28" s="42" t="s">
        <v>1034</v>
      </c>
      <c r="P28" s="42" t="s">
        <v>1035</v>
      </c>
      <c r="Q28" s="42" t="s">
        <v>1037</v>
      </c>
      <c r="R28" s="42"/>
      <c r="S28" s="44"/>
      <c r="T28" s="15"/>
      <c r="U28" s="15"/>
      <c r="V28" s="15"/>
      <c r="W28" s="15"/>
      <c r="X28" s="15"/>
      <c r="Y28" s="15"/>
      <c r="Z28" s="15"/>
    </row>
    <row r="29" spans="1:26" ht="22.5" customHeight="1">
      <c r="A29" s="26">
        <v>2</v>
      </c>
      <c r="B29" s="26" t="s">
        <v>398</v>
      </c>
      <c r="C29" s="26">
        <v>22</v>
      </c>
      <c r="D29" s="29" t="s">
        <v>1058</v>
      </c>
      <c r="E29" s="31">
        <v>228</v>
      </c>
      <c r="F29" s="31" t="s">
        <v>1021</v>
      </c>
      <c r="G29" s="56" t="s">
        <v>1222</v>
      </c>
      <c r="H29" s="88" t="s">
        <v>1318</v>
      </c>
      <c r="I29" s="86" t="s">
        <v>1322</v>
      </c>
      <c r="J29" s="61" t="s">
        <v>1323</v>
      </c>
      <c r="K29" s="36"/>
      <c r="L29" s="42" t="s">
        <v>1248</v>
      </c>
      <c r="M29" s="38" t="s">
        <v>1249</v>
      </c>
      <c r="N29" s="52" t="s">
        <v>1250</v>
      </c>
      <c r="O29" s="42" t="s">
        <v>652</v>
      </c>
      <c r="P29" s="42" t="s">
        <v>1251</v>
      </c>
      <c r="Q29" s="42" t="s">
        <v>768</v>
      </c>
      <c r="R29" s="42"/>
      <c r="S29" s="44"/>
      <c r="T29" s="15"/>
      <c r="U29" s="15"/>
      <c r="V29" s="15"/>
      <c r="W29" s="15"/>
      <c r="X29" s="15"/>
      <c r="Y29" s="15"/>
      <c r="Z29" s="15"/>
    </row>
    <row r="30" spans="1:26" ht="22.5" customHeight="1">
      <c r="A30" s="26">
        <v>2</v>
      </c>
      <c r="B30" s="26" t="s">
        <v>398</v>
      </c>
      <c r="C30" s="26">
        <v>22</v>
      </c>
      <c r="D30" s="29" t="s">
        <v>1058</v>
      </c>
      <c r="E30" s="31">
        <v>228</v>
      </c>
      <c r="F30" s="31" t="s">
        <v>1021</v>
      </c>
      <c r="G30" s="56" t="s">
        <v>1222</v>
      </c>
      <c r="H30" s="90" t="s">
        <v>1336</v>
      </c>
      <c r="I30" s="56" t="s">
        <v>1340</v>
      </c>
      <c r="J30" s="31" t="s">
        <v>1342</v>
      </c>
      <c r="K30" s="36"/>
      <c r="L30" s="42" t="s">
        <v>633</v>
      </c>
      <c r="M30" s="38" t="s">
        <v>635</v>
      </c>
      <c r="N30" s="52" t="s">
        <v>636</v>
      </c>
      <c r="O30" s="42" t="s">
        <v>839</v>
      </c>
      <c r="P30" s="42"/>
      <c r="Q30" s="31"/>
      <c r="R30" s="42"/>
      <c r="S30" s="44"/>
      <c r="T30" s="15"/>
      <c r="U30" s="15"/>
      <c r="V30" s="15"/>
      <c r="W30" s="15"/>
      <c r="X30" s="15"/>
      <c r="Y30" s="15"/>
      <c r="Z30" s="15"/>
    </row>
    <row r="31" spans="1:26" ht="22.5" customHeight="1">
      <c r="A31" s="26">
        <v>2</v>
      </c>
      <c r="B31" s="26" t="s">
        <v>398</v>
      </c>
      <c r="C31" s="26">
        <v>22</v>
      </c>
      <c r="D31" s="29" t="s">
        <v>1058</v>
      </c>
      <c r="E31" s="31">
        <v>228</v>
      </c>
      <c r="F31" s="31" t="s">
        <v>1021</v>
      </c>
      <c r="G31" s="56" t="s">
        <v>1222</v>
      </c>
      <c r="H31" s="90" t="s">
        <v>1355</v>
      </c>
      <c r="I31" s="32" t="s">
        <v>1357</v>
      </c>
      <c r="J31" s="34" t="s">
        <v>1359</v>
      </c>
      <c r="K31" s="36"/>
      <c r="L31" s="42" t="s">
        <v>633</v>
      </c>
      <c r="M31" s="38" t="s">
        <v>635</v>
      </c>
      <c r="N31" s="52" t="s">
        <v>636</v>
      </c>
      <c r="O31" s="42" t="s">
        <v>652</v>
      </c>
      <c r="P31" s="42"/>
      <c r="Q31" s="42"/>
      <c r="R31" s="42"/>
      <c r="S31" s="44"/>
      <c r="T31" s="15"/>
      <c r="U31" s="15"/>
      <c r="V31" s="15"/>
      <c r="W31" s="15"/>
      <c r="X31" s="15"/>
      <c r="Y31" s="15"/>
      <c r="Z31" s="15"/>
    </row>
    <row r="32" spans="1:26" ht="22.5" customHeight="1">
      <c r="A32" s="26">
        <v>2</v>
      </c>
      <c r="B32" s="26" t="s">
        <v>398</v>
      </c>
      <c r="C32" s="26">
        <v>22</v>
      </c>
      <c r="D32" s="29" t="s">
        <v>1058</v>
      </c>
      <c r="E32" s="31">
        <v>228</v>
      </c>
      <c r="F32" s="31" t="s">
        <v>1021</v>
      </c>
      <c r="G32" s="56" t="s">
        <v>1222</v>
      </c>
      <c r="H32" s="90" t="s">
        <v>1363</v>
      </c>
      <c r="I32" s="86" t="s">
        <v>1364</v>
      </c>
      <c r="J32" s="31" t="s">
        <v>1365</v>
      </c>
      <c r="K32" s="36"/>
      <c r="L32" s="42" t="s">
        <v>633</v>
      </c>
      <c r="M32" s="38" t="s">
        <v>635</v>
      </c>
      <c r="N32" s="52" t="s">
        <v>636</v>
      </c>
      <c r="O32" s="42" t="s">
        <v>652</v>
      </c>
      <c r="P32" s="42" t="s">
        <v>1251</v>
      </c>
      <c r="Q32" s="42" t="s">
        <v>1367</v>
      </c>
      <c r="R32" s="42"/>
      <c r="S32" s="44"/>
      <c r="T32" s="15"/>
      <c r="U32" s="15"/>
      <c r="V32" s="15"/>
      <c r="W32" s="15"/>
      <c r="X32" s="15"/>
      <c r="Y32" s="15"/>
      <c r="Z32" s="15"/>
    </row>
    <row r="33" spans="1:26" ht="67.5" customHeight="1">
      <c r="A33" s="134">
        <v>2</v>
      </c>
      <c r="B33" s="134" t="s">
        <v>398</v>
      </c>
      <c r="C33" s="134">
        <v>23</v>
      </c>
      <c r="D33" s="135" t="s">
        <v>1371</v>
      </c>
      <c r="E33" s="126">
        <v>231</v>
      </c>
      <c r="F33" s="126" t="s">
        <v>1374</v>
      </c>
      <c r="G33" s="137" t="s">
        <v>1375</v>
      </c>
      <c r="H33" s="138" t="s">
        <v>1376</v>
      </c>
      <c r="I33" s="129" t="s">
        <v>1378</v>
      </c>
      <c r="J33" s="126" t="s">
        <v>1382</v>
      </c>
      <c r="K33" s="132"/>
      <c r="L33" s="128" t="s">
        <v>1387</v>
      </c>
      <c r="M33" s="141" t="s">
        <v>865</v>
      </c>
      <c r="N33" s="129" t="s">
        <v>1392</v>
      </c>
      <c r="O33" s="128" t="s">
        <v>800</v>
      </c>
      <c r="P33" s="128"/>
      <c r="Q33" s="132"/>
      <c r="R33" s="42" t="s">
        <v>1398</v>
      </c>
      <c r="S33" s="131"/>
      <c r="T33" s="15"/>
      <c r="U33" s="15"/>
      <c r="V33" s="15"/>
      <c r="W33" s="15"/>
      <c r="X33" s="15"/>
      <c r="Y33" s="15"/>
      <c r="Z33" s="15"/>
    </row>
    <row r="34" spans="1:26" ht="22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42" t="s">
        <v>1402</v>
      </c>
      <c r="S34" s="127"/>
      <c r="T34" s="15"/>
      <c r="U34" s="15"/>
      <c r="V34" s="15"/>
      <c r="W34" s="15"/>
      <c r="X34" s="15"/>
      <c r="Y34" s="15"/>
      <c r="Z34" s="15"/>
    </row>
    <row r="35" spans="1:26" ht="31.5" customHeight="1">
      <c r="A35" s="134">
        <v>2</v>
      </c>
      <c r="B35" s="134" t="s">
        <v>398</v>
      </c>
      <c r="C35" s="134">
        <v>23</v>
      </c>
      <c r="D35" s="135" t="s">
        <v>1371</v>
      </c>
      <c r="E35" s="126">
        <v>232</v>
      </c>
      <c r="F35" s="126" t="s">
        <v>1406</v>
      </c>
      <c r="G35" s="137" t="s">
        <v>1407</v>
      </c>
      <c r="H35" s="136" t="s">
        <v>1408</v>
      </c>
      <c r="I35" s="129" t="s">
        <v>1409</v>
      </c>
      <c r="J35" s="128" t="s">
        <v>1411</v>
      </c>
      <c r="K35" s="132"/>
      <c r="L35" s="130" t="s">
        <v>1387</v>
      </c>
      <c r="M35" s="130" t="s">
        <v>865</v>
      </c>
      <c r="N35" s="129" t="s">
        <v>1392</v>
      </c>
      <c r="O35" s="128" t="s">
        <v>800</v>
      </c>
      <c r="P35" s="130"/>
      <c r="Q35" s="130"/>
      <c r="R35" s="42" t="s">
        <v>1398</v>
      </c>
      <c r="S35" s="131"/>
      <c r="T35" s="15"/>
      <c r="U35" s="15"/>
      <c r="V35" s="15"/>
      <c r="W35" s="15"/>
      <c r="X35" s="15"/>
      <c r="Y35" s="15"/>
      <c r="Z35" s="15"/>
    </row>
    <row r="36" spans="1:26" ht="22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42" t="s">
        <v>1418</v>
      </c>
      <c r="S36" s="127"/>
      <c r="T36" s="15"/>
      <c r="U36" s="15"/>
      <c r="V36" s="15"/>
      <c r="W36" s="15"/>
      <c r="X36" s="15"/>
      <c r="Y36" s="15"/>
      <c r="Z36" s="15"/>
    </row>
    <row r="37" spans="1:26" ht="31.5" customHeight="1">
      <c r="A37" s="134">
        <v>2</v>
      </c>
      <c r="B37" s="134" t="s">
        <v>398</v>
      </c>
      <c r="C37" s="134">
        <v>23</v>
      </c>
      <c r="D37" s="135" t="s">
        <v>1371</v>
      </c>
      <c r="E37" s="126">
        <v>232</v>
      </c>
      <c r="F37" s="126" t="s">
        <v>1406</v>
      </c>
      <c r="G37" s="137" t="s">
        <v>1407</v>
      </c>
      <c r="H37" s="136" t="s">
        <v>1442</v>
      </c>
      <c r="I37" s="129" t="s">
        <v>1409</v>
      </c>
      <c r="J37" s="128" t="s">
        <v>1411</v>
      </c>
      <c r="K37" s="132"/>
      <c r="L37" s="130" t="s">
        <v>1387</v>
      </c>
      <c r="M37" s="130" t="s">
        <v>865</v>
      </c>
      <c r="N37" s="129" t="s">
        <v>1392</v>
      </c>
      <c r="O37" s="128" t="s">
        <v>800</v>
      </c>
      <c r="P37" s="130"/>
      <c r="Q37" s="130"/>
      <c r="R37" s="42" t="s">
        <v>1398</v>
      </c>
      <c r="S37" s="131"/>
      <c r="T37" s="15"/>
      <c r="U37" s="15"/>
      <c r="V37" s="15"/>
      <c r="W37" s="15"/>
      <c r="X37" s="15"/>
      <c r="Y37" s="15"/>
      <c r="Z37" s="15"/>
    </row>
    <row r="38" spans="1:26" ht="22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42" t="s">
        <v>1418</v>
      </c>
      <c r="S38" s="127"/>
      <c r="T38" s="15"/>
      <c r="U38" s="15"/>
      <c r="V38" s="15"/>
      <c r="W38" s="15"/>
      <c r="X38" s="15"/>
      <c r="Y38" s="15"/>
      <c r="Z38" s="15"/>
    </row>
    <row r="39" spans="1:26" ht="31.5" customHeight="1">
      <c r="A39" s="134">
        <v>2</v>
      </c>
      <c r="B39" s="134" t="s">
        <v>398</v>
      </c>
      <c r="C39" s="134">
        <v>23</v>
      </c>
      <c r="D39" s="135" t="s">
        <v>1371</v>
      </c>
      <c r="E39" s="126">
        <v>232</v>
      </c>
      <c r="F39" s="126" t="s">
        <v>1406</v>
      </c>
      <c r="G39" s="137" t="s">
        <v>1407</v>
      </c>
      <c r="H39" s="138" t="s">
        <v>1479</v>
      </c>
      <c r="I39" s="129" t="s">
        <v>1406</v>
      </c>
      <c r="J39" s="126" t="s">
        <v>1482</v>
      </c>
      <c r="K39" s="132"/>
      <c r="L39" s="130" t="s">
        <v>1387</v>
      </c>
      <c r="M39" s="130" t="s">
        <v>865</v>
      </c>
      <c r="N39" s="129" t="s">
        <v>1392</v>
      </c>
      <c r="O39" s="128" t="s">
        <v>800</v>
      </c>
      <c r="P39" s="130"/>
      <c r="Q39" s="130"/>
      <c r="R39" s="42" t="s">
        <v>1398</v>
      </c>
      <c r="S39" s="131"/>
      <c r="T39" s="15"/>
      <c r="U39" s="15"/>
      <c r="V39" s="15"/>
      <c r="W39" s="15"/>
      <c r="X39" s="15"/>
      <c r="Y39" s="15"/>
      <c r="Z39" s="15"/>
    </row>
    <row r="40" spans="1:26" ht="22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42" t="s">
        <v>1418</v>
      </c>
      <c r="S40" s="127"/>
      <c r="T40" s="15"/>
      <c r="U40" s="15"/>
      <c r="V40" s="15"/>
      <c r="W40" s="15"/>
      <c r="X40" s="15"/>
      <c r="Y40" s="15"/>
      <c r="Z40" s="15"/>
    </row>
    <row r="41" spans="1:26" ht="22.5" customHeight="1">
      <c r="A41" s="26">
        <v>2</v>
      </c>
      <c r="B41" s="26" t="s">
        <v>398</v>
      </c>
      <c r="C41" s="26">
        <v>23</v>
      </c>
      <c r="D41" s="29" t="s">
        <v>1371</v>
      </c>
      <c r="E41" s="31">
        <v>233</v>
      </c>
      <c r="F41" s="31" t="s">
        <v>1498</v>
      </c>
      <c r="G41" s="56" t="s">
        <v>1500</v>
      </c>
      <c r="H41" s="88" t="s">
        <v>1501</v>
      </c>
      <c r="I41" s="86" t="s">
        <v>1501</v>
      </c>
      <c r="J41" s="31" t="s">
        <v>1503</v>
      </c>
      <c r="K41" s="36"/>
      <c r="L41" s="70" t="s">
        <v>1504</v>
      </c>
      <c r="M41" s="70" t="s">
        <v>1505</v>
      </c>
      <c r="N41" s="40" t="s">
        <v>1506</v>
      </c>
      <c r="O41" s="42" t="s">
        <v>1507</v>
      </c>
      <c r="P41" s="70"/>
      <c r="Q41" s="70"/>
      <c r="R41" s="42"/>
      <c r="S41" s="44"/>
      <c r="T41" s="15"/>
      <c r="U41" s="15"/>
      <c r="V41" s="15"/>
      <c r="W41" s="15"/>
      <c r="X41" s="15"/>
      <c r="Y41" s="15"/>
      <c r="Z41" s="15"/>
    </row>
    <row r="42" spans="1:26" ht="22.5" customHeight="1">
      <c r="A42" s="134">
        <v>2</v>
      </c>
      <c r="B42" s="134" t="s">
        <v>398</v>
      </c>
      <c r="C42" s="134">
        <v>23</v>
      </c>
      <c r="D42" s="135" t="s">
        <v>1371</v>
      </c>
      <c r="E42" s="126">
        <v>234</v>
      </c>
      <c r="F42" s="126" t="s">
        <v>1511</v>
      </c>
      <c r="G42" s="32" t="s">
        <v>1513</v>
      </c>
      <c r="H42" s="133" t="s">
        <v>1514</v>
      </c>
      <c r="I42" s="137" t="s">
        <v>1534</v>
      </c>
      <c r="J42" s="126" t="s">
        <v>1536</v>
      </c>
      <c r="K42" s="132"/>
      <c r="L42" s="126" t="s">
        <v>1538</v>
      </c>
      <c r="M42" s="126" t="s">
        <v>1541</v>
      </c>
      <c r="N42" s="129" t="s">
        <v>1542</v>
      </c>
      <c r="O42" s="128" t="s">
        <v>1543</v>
      </c>
      <c r="P42" s="128" t="s">
        <v>1545</v>
      </c>
      <c r="Q42" s="130" t="s">
        <v>1547</v>
      </c>
      <c r="R42" s="130" t="s">
        <v>1548</v>
      </c>
      <c r="S42" s="131"/>
      <c r="T42" s="15"/>
      <c r="U42" s="15"/>
      <c r="V42" s="15"/>
      <c r="W42" s="15"/>
      <c r="X42" s="15"/>
      <c r="Y42" s="15"/>
      <c r="Z42" s="15"/>
    </row>
    <row r="43" spans="1:26" ht="22.5" customHeight="1">
      <c r="A43" s="127"/>
      <c r="B43" s="127"/>
      <c r="C43" s="127"/>
      <c r="D43" s="127"/>
      <c r="E43" s="127"/>
      <c r="F43" s="127"/>
      <c r="G43" s="56" t="s">
        <v>1554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5"/>
      <c r="U43" s="15"/>
      <c r="V43" s="15"/>
      <c r="W43" s="15"/>
      <c r="X43" s="15"/>
      <c r="Y43" s="15"/>
      <c r="Z43" s="15"/>
    </row>
    <row r="44" spans="1:26" ht="25.5" customHeight="1">
      <c r="A44" s="127"/>
      <c r="B44" s="127"/>
      <c r="C44" s="127"/>
      <c r="D44" s="127"/>
      <c r="E44" s="127"/>
      <c r="F44" s="127"/>
      <c r="G44" s="32" t="s">
        <v>1555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5"/>
      <c r="U44" s="15"/>
      <c r="V44" s="15"/>
      <c r="W44" s="15"/>
      <c r="X44" s="15"/>
      <c r="Y44" s="15"/>
      <c r="Z44" s="15"/>
    </row>
    <row r="45" spans="1:26" ht="22.5" customHeight="1">
      <c r="A45" s="127"/>
      <c r="B45" s="127"/>
      <c r="C45" s="127"/>
      <c r="D45" s="127"/>
      <c r="E45" s="127"/>
      <c r="F45" s="127"/>
      <c r="G45" s="56" t="s">
        <v>1556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5"/>
      <c r="U45" s="15"/>
      <c r="V45" s="15"/>
      <c r="W45" s="15"/>
      <c r="X45" s="15"/>
      <c r="Y45" s="15"/>
      <c r="Z45" s="15"/>
    </row>
    <row r="46" spans="1:26" ht="22.5" customHeight="1">
      <c r="A46" s="127"/>
      <c r="B46" s="127"/>
      <c r="C46" s="127"/>
      <c r="D46" s="127"/>
      <c r="E46" s="127"/>
      <c r="F46" s="127"/>
      <c r="G46" s="32" t="s">
        <v>1561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5"/>
      <c r="U46" s="15"/>
      <c r="V46" s="15"/>
      <c r="W46" s="15"/>
      <c r="X46" s="15"/>
      <c r="Y46" s="15"/>
      <c r="Z46" s="15"/>
    </row>
    <row r="47" spans="1:26" ht="22.5" customHeight="1">
      <c r="A47" s="134">
        <v>2</v>
      </c>
      <c r="B47" s="134" t="s">
        <v>398</v>
      </c>
      <c r="C47" s="134">
        <v>23</v>
      </c>
      <c r="D47" s="135" t="s">
        <v>1371</v>
      </c>
      <c r="E47" s="126">
        <v>234</v>
      </c>
      <c r="F47" s="126" t="s">
        <v>1511</v>
      </c>
      <c r="G47" s="32" t="s">
        <v>1513</v>
      </c>
      <c r="H47" s="133" t="s">
        <v>1534</v>
      </c>
      <c r="I47" s="137" t="s">
        <v>1534</v>
      </c>
      <c r="J47" s="126" t="s">
        <v>1575</v>
      </c>
      <c r="K47" s="132"/>
      <c r="L47" s="126" t="s">
        <v>1538</v>
      </c>
      <c r="M47" s="126" t="s">
        <v>1541</v>
      </c>
      <c r="N47" s="129" t="s">
        <v>1542</v>
      </c>
      <c r="O47" s="128" t="s">
        <v>1543</v>
      </c>
      <c r="P47" s="130"/>
      <c r="Q47" s="132"/>
      <c r="R47" s="130" t="s">
        <v>1548</v>
      </c>
      <c r="S47" s="131"/>
      <c r="T47" s="15"/>
      <c r="U47" s="15"/>
      <c r="V47" s="15"/>
      <c r="W47" s="15"/>
      <c r="X47" s="15"/>
      <c r="Y47" s="15"/>
      <c r="Z47" s="15"/>
    </row>
    <row r="48" spans="1:26" ht="22.5" customHeight="1">
      <c r="A48" s="127"/>
      <c r="B48" s="127"/>
      <c r="C48" s="127"/>
      <c r="D48" s="127"/>
      <c r="E48" s="127"/>
      <c r="F48" s="127"/>
      <c r="G48" s="56" t="s">
        <v>1554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5"/>
      <c r="U48" s="15"/>
      <c r="V48" s="15"/>
      <c r="W48" s="15"/>
      <c r="X48" s="15"/>
      <c r="Y48" s="15"/>
      <c r="Z48" s="15"/>
    </row>
    <row r="49" spans="1:26" ht="22.5" customHeight="1">
      <c r="A49" s="127"/>
      <c r="B49" s="127"/>
      <c r="C49" s="127"/>
      <c r="D49" s="127"/>
      <c r="E49" s="127"/>
      <c r="F49" s="127"/>
      <c r="G49" s="32" t="s">
        <v>1555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5"/>
      <c r="U49" s="15"/>
      <c r="V49" s="15"/>
      <c r="W49" s="15"/>
      <c r="X49" s="15"/>
      <c r="Y49" s="15"/>
      <c r="Z49" s="15"/>
    </row>
    <row r="50" spans="1:26" ht="22.5" customHeight="1">
      <c r="A50" s="127"/>
      <c r="B50" s="127"/>
      <c r="C50" s="127"/>
      <c r="D50" s="127"/>
      <c r="E50" s="127"/>
      <c r="F50" s="127"/>
      <c r="G50" s="56" t="s">
        <v>1556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5"/>
      <c r="U50" s="15"/>
      <c r="V50" s="15"/>
      <c r="W50" s="15"/>
      <c r="X50" s="15"/>
      <c r="Y50" s="15"/>
      <c r="Z50" s="15"/>
    </row>
    <row r="51" spans="1:26" ht="22.5" customHeight="1">
      <c r="A51" s="127"/>
      <c r="B51" s="127"/>
      <c r="C51" s="127"/>
      <c r="D51" s="127"/>
      <c r="E51" s="127"/>
      <c r="F51" s="127"/>
      <c r="G51" s="32" t="s">
        <v>1590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5"/>
      <c r="U51" s="15"/>
      <c r="V51" s="15"/>
      <c r="W51" s="15"/>
      <c r="X51" s="15"/>
      <c r="Y51" s="15"/>
      <c r="Z51" s="15"/>
    </row>
    <row r="52" spans="1:26" ht="22.5" customHeight="1">
      <c r="A52" s="134">
        <v>2</v>
      </c>
      <c r="B52" s="134" t="s">
        <v>398</v>
      </c>
      <c r="C52" s="134">
        <v>23</v>
      </c>
      <c r="D52" s="135" t="s">
        <v>1371</v>
      </c>
      <c r="E52" s="126">
        <v>234</v>
      </c>
      <c r="F52" s="126" t="s">
        <v>1511</v>
      </c>
      <c r="G52" s="32" t="s">
        <v>1513</v>
      </c>
      <c r="H52" s="133" t="s">
        <v>1596</v>
      </c>
      <c r="I52" s="137" t="s">
        <v>1596</v>
      </c>
      <c r="J52" s="126" t="s">
        <v>1600</v>
      </c>
      <c r="K52" s="132"/>
      <c r="L52" s="126" t="s">
        <v>1602</v>
      </c>
      <c r="M52" s="126" t="s">
        <v>1541</v>
      </c>
      <c r="N52" s="129" t="s">
        <v>1542</v>
      </c>
      <c r="O52" s="128" t="s">
        <v>1543</v>
      </c>
      <c r="P52" s="130"/>
      <c r="Q52" s="130"/>
      <c r="R52" s="70" t="s">
        <v>1548</v>
      </c>
      <c r="S52" s="131"/>
      <c r="T52" s="15"/>
      <c r="U52" s="15"/>
      <c r="V52" s="15"/>
      <c r="W52" s="15"/>
      <c r="X52" s="15"/>
      <c r="Y52" s="15"/>
      <c r="Z52" s="15"/>
    </row>
    <row r="53" spans="1:26" ht="22.5" customHeight="1">
      <c r="A53" s="127"/>
      <c r="B53" s="127"/>
      <c r="C53" s="127"/>
      <c r="D53" s="127"/>
      <c r="E53" s="127"/>
      <c r="F53" s="127"/>
      <c r="G53" s="56" t="s">
        <v>1554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70" t="s">
        <v>1612</v>
      </c>
      <c r="S53" s="127"/>
      <c r="T53" s="15"/>
      <c r="U53" s="15"/>
      <c r="V53" s="15"/>
      <c r="W53" s="15"/>
      <c r="X53" s="15"/>
      <c r="Y53" s="15"/>
      <c r="Z53" s="15"/>
    </row>
    <row r="54" spans="1:26" ht="22.5" customHeight="1">
      <c r="A54" s="127"/>
      <c r="B54" s="127"/>
      <c r="C54" s="127"/>
      <c r="D54" s="127"/>
      <c r="E54" s="127"/>
      <c r="F54" s="127"/>
      <c r="G54" s="32" t="s">
        <v>1555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70"/>
      <c r="S54" s="127"/>
      <c r="T54" s="15"/>
      <c r="U54" s="15"/>
      <c r="V54" s="15"/>
      <c r="W54" s="15"/>
      <c r="X54" s="15"/>
      <c r="Y54" s="15"/>
      <c r="Z54" s="15"/>
    </row>
    <row r="55" spans="1:26" ht="22.5" customHeight="1">
      <c r="A55" s="127"/>
      <c r="B55" s="127"/>
      <c r="C55" s="127"/>
      <c r="D55" s="127"/>
      <c r="E55" s="127"/>
      <c r="F55" s="127"/>
      <c r="G55" s="56" t="s">
        <v>1556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70"/>
      <c r="S55" s="127"/>
      <c r="T55" s="15"/>
      <c r="U55" s="15"/>
      <c r="V55" s="15"/>
      <c r="W55" s="15"/>
      <c r="X55" s="15"/>
      <c r="Y55" s="15"/>
      <c r="Z55" s="15"/>
    </row>
    <row r="56" spans="1:26" ht="22.5" customHeight="1">
      <c r="A56" s="127"/>
      <c r="B56" s="127"/>
      <c r="C56" s="127"/>
      <c r="D56" s="127"/>
      <c r="E56" s="127"/>
      <c r="F56" s="127"/>
      <c r="G56" s="32" t="s">
        <v>1590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70"/>
      <c r="S56" s="127"/>
      <c r="T56" s="15"/>
      <c r="U56" s="15"/>
      <c r="V56" s="15"/>
      <c r="W56" s="15"/>
      <c r="X56" s="15"/>
      <c r="Y56" s="15"/>
      <c r="Z56" s="15"/>
    </row>
    <row r="57" spans="1:26" ht="22.5" customHeight="1">
      <c r="A57" s="134">
        <v>2</v>
      </c>
      <c r="B57" s="134" t="s">
        <v>398</v>
      </c>
      <c r="C57" s="134">
        <v>23</v>
      </c>
      <c r="D57" s="135" t="s">
        <v>1371</v>
      </c>
      <c r="E57" s="126">
        <v>234</v>
      </c>
      <c r="F57" s="126" t="s">
        <v>1511</v>
      </c>
      <c r="G57" s="32" t="s">
        <v>1513</v>
      </c>
      <c r="H57" s="133" t="s">
        <v>1617</v>
      </c>
      <c r="I57" s="137" t="s">
        <v>1617</v>
      </c>
      <c r="J57" s="126" t="s">
        <v>1575</v>
      </c>
      <c r="K57" s="132"/>
      <c r="L57" s="126" t="s">
        <v>1629</v>
      </c>
      <c r="M57" s="126" t="s">
        <v>1631</v>
      </c>
      <c r="N57" s="129" t="s">
        <v>1634</v>
      </c>
      <c r="O57" s="128" t="s">
        <v>1543</v>
      </c>
      <c r="P57" s="130"/>
      <c r="Q57" s="132"/>
      <c r="R57" s="130" t="s">
        <v>1548</v>
      </c>
      <c r="S57" s="131"/>
      <c r="T57" s="15"/>
      <c r="U57" s="15"/>
      <c r="V57" s="15"/>
      <c r="W57" s="15"/>
      <c r="X57" s="15"/>
      <c r="Y57" s="15"/>
      <c r="Z57" s="15"/>
    </row>
    <row r="58" spans="1:26" ht="22.5" customHeight="1">
      <c r="A58" s="127"/>
      <c r="B58" s="127"/>
      <c r="C58" s="127"/>
      <c r="D58" s="127"/>
      <c r="E58" s="127"/>
      <c r="F58" s="127"/>
      <c r="G58" s="56" t="s">
        <v>1554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5"/>
      <c r="U58" s="15"/>
      <c r="V58" s="15"/>
      <c r="W58" s="15"/>
      <c r="X58" s="15"/>
      <c r="Y58" s="15"/>
      <c r="Z58" s="15"/>
    </row>
    <row r="59" spans="1:26" ht="22.5" customHeight="1">
      <c r="A59" s="127"/>
      <c r="B59" s="127"/>
      <c r="C59" s="127"/>
      <c r="D59" s="127"/>
      <c r="E59" s="127"/>
      <c r="F59" s="127"/>
      <c r="G59" s="32" t="s">
        <v>1555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5"/>
      <c r="U59" s="15"/>
      <c r="V59" s="15"/>
      <c r="W59" s="15"/>
      <c r="X59" s="15"/>
      <c r="Y59" s="15"/>
      <c r="Z59" s="15"/>
    </row>
    <row r="60" spans="1:26" ht="22.5" customHeight="1">
      <c r="A60" s="127"/>
      <c r="B60" s="127"/>
      <c r="C60" s="127"/>
      <c r="D60" s="127"/>
      <c r="E60" s="127"/>
      <c r="F60" s="127"/>
      <c r="G60" s="56" t="s">
        <v>1556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5"/>
      <c r="U60" s="15"/>
      <c r="V60" s="15"/>
      <c r="W60" s="15"/>
      <c r="X60" s="15"/>
      <c r="Y60" s="15"/>
      <c r="Z60" s="15"/>
    </row>
    <row r="61" spans="1:26" ht="22.5" customHeight="1">
      <c r="A61" s="127"/>
      <c r="B61" s="127"/>
      <c r="C61" s="127"/>
      <c r="D61" s="127"/>
      <c r="E61" s="127"/>
      <c r="F61" s="127"/>
      <c r="G61" s="32" t="s">
        <v>1561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5"/>
      <c r="U61" s="15"/>
      <c r="V61" s="15"/>
      <c r="W61" s="15"/>
      <c r="X61" s="15"/>
      <c r="Y61" s="15"/>
      <c r="Z61" s="15"/>
    </row>
    <row r="62" spans="1:26" ht="22.5" customHeight="1">
      <c r="A62" s="134">
        <v>2</v>
      </c>
      <c r="B62" s="134" t="s">
        <v>398</v>
      </c>
      <c r="C62" s="134">
        <v>23</v>
      </c>
      <c r="D62" s="135" t="s">
        <v>1371</v>
      </c>
      <c r="E62" s="126">
        <v>234</v>
      </c>
      <c r="F62" s="126" t="s">
        <v>1511</v>
      </c>
      <c r="G62" s="32" t="s">
        <v>1513</v>
      </c>
      <c r="H62" s="133" t="s">
        <v>1661</v>
      </c>
      <c r="I62" s="137" t="s">
        <v>1661</v>
      </c>
      <c r="J62" s="126" t="s">
        <v>1665</v>
      </c>
      <c r="K62" s="132"/>
      <c r="L62" s="130" t="s">
        <v>1667</v>
      </c>
      <c r="M62" s="130" t="s">
        <v>1685</v>
      </c>
      <c r="N62" s="129" t="s">
        <v>1687</v>
      </c>
      <c r="O62" s="128" t="s">
        <v>1690</v>
      </c>
      <c r="P62" s="130"/>
      <c r="Q62" s="132"/>
      <c r="R62" s="130" t="s">
        <v>1697</v>
      </c>
      <c r="S62" s="131"/>
      <c r="T62" s="15"/>
      <c r="U62" s="15"/>
      <c r="V62" s="15"/>
      <c r="W62" s="15"/>
      <c r="X62" s="15"/>
      <c r="Y62" s="15"/>
      <c r="Z62" s="15"/>
    </row>
    <row r="63" spans="1:26" ht="22.5" customHeight="1">
      <c r="A63" s="127"/>
      <c r="B63" s="127"/>
      <c r="C63" s="127"/>
      <c r="D63" s="127"/>
      <c r="E63" s="127"/>
      <c r="F63" s="127"/>
      <c r="G63" s="56" t="s">
        <v>1554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5"/>
      <c r="U63" s="15"/>
      <c r="V63" s="15"/>
      <c r="W63" s="15"/>
      <c r="X63" s="15"/>
      <c r="Y63" s="15"/>
      <c r="Z63" s="15"/>
    </row>
    <row r="64" spans="1:26" ht="22.5" customHeight="1">
      <c r="A64" s="127"/>
      <c r="B64" s="127"/>
      <c r="C64" s="127"/>
      <c r="D64" s="127"/>
      <c r="E64" s="127"/>
      <c r="F64" s="127"/>
      <c r="G64" s="32" t="s">
        <v>1555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5"/>
      <c r="U64" s="15"/>
      <c r="V64" s="15"/>
      <c r="W64" s="15"/>
      <c r="X64" s="15"/>
      <c r="Y64" s="15"/>
      <c r="Z64" s="15"/>
    </row>
    <row r="65" spans="1:26" ht="22.5" customHeight="1">
      <c r="A65" s="127"/>
      <c r="B65" s="127"/>
      <c r="C65" s="127"/>
      <c r="D65" s="127"/>
      <c r="E65" s="127"/>
      <c r="F65" s="127"/>
      <c r="G65" s="56" t="s">
        <v>1556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5"/>
      <c r="U65" s="15"/>
      <c r="V65" s="15"/>
      <c r="W65" s="15"/>
      <c r="X65" s="15"/>
      <c r="Y65" s="15"/>
      <c r="Z65" s="15"/>
    </row>
    <row r="66" spans="1:26" ht="22.5" customHeight="1">
      <c r="A66" s="127"/>
      <c r="B66" s="127"/>
      <c r="C66" s="127"/>
      <c r="D66" s="127"/>
      <c r="E66" s="127"/>
      <c r="F66" s="127"/>
      <c r="G66" s="32" t="s">
        <v>1561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5"/>
      <c r="U66" s="15"/>
      <c r="V66" s="15"/>
      <c r="W66" s="15"/>
      <c r="X66" s="15"/>
      <c r="Y66" s="15"/>
      <c r="Z66" s="15"/>
    </row>
    <row r="67" spans="1:26" ht="22.5" customHeight="1">
      <c r="A67" s="26">
        <v>2</v>
      </c>
      <c r="B67" s="26" t="s">
        <v>398</v>
      </c>
      <c r="C67" s="26">
        <v>23</v>
      </c>
      <c r="D67" s="29" t="s">
        <v>1371</v>
      </c>
      <c r="E67" s="31">
        <v>235</v>
      </c>
      <c r="F67" s="31" t="s">
        <v>1727</v>
      </c>
      <c r="G67" s="32" t="s">
        <v>1729</v>
      </c>
      <c r="H67" s="59" t="s">
        <v>1730</v>
      </c>
      <c r="I67" s="52" t="s">
        <v>1731</v>
      </c>
      <c r="J67" s="34" t="s">
        <v>1744</v>
      </c>
      <c r="K67" s="36"/>
      <c r="L67" s="31" t="s">
        <v>1203</v>
      </c>
      <c r="M67" s="31" t="s">
        <v>1204</v>
      </c>
      <c r="N67" s="52" t="s">
        <v>1205</v>
      </c>
      <c r="O67" s="42" t="s">
        <v>800</v>
      </c>
      <c r="P67" s="42" t="s">
        <v>1035</v>
      </c>
      <c r="Q67" s="42" t="s">
        <v>1214</v>
      </c>
      <c r="R67" s="42"/>
      <c r="S67" s="44"/>
      <c r="T67" s="15"/>
      <c r="U67" s="15"/>
      <c r="V67" s="15"/>
      <c r="W67" s="15"/>
      <c r="X67" s="15"/>
      <c r="Y67" s="15"/>
      <c r="Z67" s="15"/>
    </row>
    <row r="68" spans="1:26" ht="22.5" customHeight="1">
      <c r="A68" s="26">
        <v>2</v>
      </c>
      <c r="B68" s="26" t="s">
        <v>398</v>
      </c>
      <c r="C68" s="26">
        <v>23</v>
      </c>
      <c r="D68" s="29" t="s">
        <v>1371</v>
      </c>
      <c r="E68" s="31">
        <v>236</v>
      </c>
      <c r="F68" s="31" t="s">
        <v>1765</v>
      </c>
      <c r="G68" s="32"/>
      <c r="H68" s="59" t="s">
        <v>1766</v>
      </c>
      <c r="I68" s="52" t="s">
        <v>1766</v>
      </c>
      <c r="J68" s="34" t="s">
        <v>1767</v>
      </c>
      <c r="K68" s="36"/>
      <c r="L68" s="31" t="s">
        <v>1203</v>
      </c>
      <c r="M68" s="31" t="s">
        <v>1204</v>
      </c>
      <c r="N68" s="52" t="s">
        <v>1205</v>
      </c>
      <c r="O68" s="42" t="s">
        <v>800</v>
      </c>
      <c r="P68" s="42" t="s">
        <v>1035</v>
      </c>
      <c r="Q68" s="42" t="s">
        <v>1214</v>
      </c>
      <c r="R68" s="42"/>
      <c r="S68" s="44"/>
      <c r="T68" s="15"/>
      <c r="U68" s="15"/>
      <c r="V68" s="15"/>
      <c r="W68" s="15"/>
      <c r="X68" s="15"/>
      <c r="Y68" s="15"/>
      <c r="Z68" s="15"/>
    </row>
    <row r="69" spans="1:26" ht="22.5" customHeight="1">
      <c r="A69" s="26">
        <v>2</v>
      </c>
      <c r="B69" s="26" t="s">
        <v>398</v>
      </c>
      <c r="C69" s="26">
        <v>23</v>
      </c>
      <c r="D69" s="29" t="s">
        <v>1371</v>
      </c>
      <c r="E69" s="31">
        <v>237</v>
      </c>
      <c r="F69" s="31" t="s">
        <v>1788</v>
      </c>
      <c r="G69" s="56" t="s">
        <v>1791</v>
      </c>
      <c r="H69" s="33" t="s">
        <v>1793</v>
      </c>
      <c r="I69" s="29"/>
      <c r="J69" s="38"/>
      <c r="K69" s="48"/>
      <c r="L69" s="38" t="s">
        <v>1523</v>
      </c>
      <c r="M69" s="38" t="s">
        <v>1524</v>
      </c>
      <c r="N69" s="28" t="s">
        <v>1525</v>
      </c>
      <c r="O69" s="38" t="s">
        <v>1526</v>
      </c>
      <c r="P69" s="38"/>
      <c r="Q69" s="48"/>
      <c r="R69" s="38"/>
      <c r="S69" s="44"/>
      <c r="T69" s="15"/>
      <c r="U69" s="15"/>
      <c r="V69" s="15"/>
      <c r="W69" s="15"/>
      <c r="X69" s="15"/>
      <c r="Y69" s="15"/>
      <c r="Z69" s="15"/>
    </row>
    <row r="70" spans="1:26" ht="22.5" customHeight="1">
      <c r="A70" s="26">
        <v>2</v>
      </c>
      <c r="B70" s="26" t="s">
        <v>398</v>
      </c>
      <c r="C70" s="26">
        <v>23</v>
      </c>
      <c r="D70" s="29" t="s">
        <v>1371</v>
      </c>
      <c r="E70" s="31">
        <v>237</v>
      </c>
      <c r="F70" s="31" t="s">
        <v>1788</v>
      </c>
      <c r="G70" s="56" t="s">
        <v>1791</v>
      </c>
      <c r="H70" s="66" t="s">
        <v>1806</v>
      </c>
      <c r="I70" s="29"/>
      <c r="J70" s="38"/>
      <c r="K70" s="48"/>
      <c r="L70" s="38" t="s">
        <v>1807</v>
      </c>
      <c r="M70" s="38"/>
      <c r="N70" s="29"/>
      <c r="O70" s="38" t="s">
        <v>559</v>
      </c>
      <c r="P70" s="38"/>
      <c r="Q70" s="48"/>
      <c r="R70" s="38"/>
      <c r="S70" s="44"/>
      <c r="T70" s="15"/>
      <c r="U70" s="15"/>
      <c r="V70" s="15"/>
      <c r="W70" s="15"/>
      <c r="X70" s="15"/>
      <c r="Y70" s="15"/>
      <c r="Z70" s="15"/>
    </row>
    <row r="71" spans="1:26" ht="22.5" customHeight="1">
      <c r="A71" s="26">
        <v>2</v>
      </c>
      <c r="B71" s="26" t="s">
        <v>398</v>
      </c>
      <c r="C71" s="26">
        <v>23</v>
      </c>
      <c r="D71" s="29" t="s">
        <v>1371</v>
      </c>
      <c r="E71" s="31">
        <v>237</v>
      </c>
      <c r="F71" s="31" t="s">
        <v>1788</v>
      </c>
      <c r="G71" s="56" t="s">
        <v>1791</v>
      </c>
      <c r="H71" s="50" t="s">
        <v>1808</v>
      </c>
      <c r="I71" s="52" t="s">
        <v>1809</v>
      </c>
      <c r="J71" s="34" t="s">
        <v>1810</v>
      </c>
      <c r="K71" s="36"/>
      <c r="L71" s="31" t="s">
        <v>1811</v>
      </c>
      <c r="M71" s="31" t="s">
        <v>1788</v>
      </c>
      <c r="N71" s="52" t="s">
        <v>1812</v>
      </c>
      <c r="O71" s="42" t="s">
        <v>1813</v>
      </c>
      <c r="P71" s="42" t="s">
        <v>1814</v>
      </c>
      <c r="Q71" s="70" t="s">
        <v>1815</v>
      </c>
      <c r="R71" s="38"/>
      <c r="S71" s="93"/>
      <c r="T71" s="15"/>
      <c r="U71" s="15"/>
      <c r="V71" s="15"/>
      <c r="W71" s="15"/>
      <c r="X71" s="15"/>
      <c r="Y71" s="15"/>
      <c r="Z71" s="15"/>
    </row>
    <row r="72" spans="1:26" ht="22.5" customHeight="1">
      <c r="A72" s="26">
        <v>2</v>
      </c>
      <c r="B72" s="26" t="s">
        <v>398</v>
      </c>
      <c r="C72" s="26">
        <v>23</v>
      </c>
      <c r="D72" s="29" t="s">
        <v>1371</v>
      </c>
      <c r="E72" s="31">
        <v>237</v>
      </c>
      <c r="F72" s="31" t="s">
        <v>1788</v>
      </c>
      <c r="G72" s="56" t="s">
        <v>1791</v>
      </c>
      <c r="H72" s="33" t="s">
        <v>1821</v>
      </c>
      <c r="I72" s="29"/>
      <c r="J72" s="38"/>
      <c r="K72" s="48"/>
      <c r="L72" s="38" t="s">
        <v>1807</v>
      </c>
      <c r="M72" s="38"/>
      <c r="N72" s="29"/>
      <c r="O72" s="38" t="s">
        <v>1822</v>
      </c>
      <c r="P72" s="38"/>
      <c r="Q72" s="48"/>
      <c r="R72" s="38"/>
      <c r="S72" s="44"/>
      <c r="T72" s="15"/>
      <c r="U72" s="15"/>
      <c r="V72" s="15"/>
      <c r="W72" s="15"/>
      <c r="X72" s="15"/>
      <c r="Y72" s="15"/>
      <c r="Z72" s="15"/>
    </row>
    <row r="73" spans="1:26" ht="22.5" customHeight="1">
      <c r="A73" s="26">
        <v>2</v>
      </c>
      <c r="B73" s="26" t="s">
        <v>398</v>
      </c>
      <c r="C73" s="26">
        <v>23</v>
      </c>
      <c r="D73" s="29" t="s">
        <v>1371</v>
      </c>
      <c r="E73" s="31">
        <v>237</v>
      </c>
      <c r="F73" s="31" t="s">
        <v>1788</v>
      </c>
      <c r="G73" s="56" t="s">
        <v>1791</v>
      </c>
      <c r="H73" s="33" t="s">
        <v>1827</v>
      </c>
      <c r="I73" s="29"/>
      <c r="J73" s="38"/>
      <c r="K73" s="48"/>
      <c r="L73" s="38" t="s">
        <v>1829</v>
      </c>
      <c r="M73" s="38"/>
      <c r="N73" s="29"/>
      <c r="O73" s="38"/>
      <c r="P73" s="38"/>
      <c r="Q73" s="48"/>
      <c r="R73" s="38"/>
      <c r="S73" s="44"/>
      <c r="T73" s="15"/>
      <c r="U73" s="15"/>
      <c r="V73" s="15"/>
      <c r="W73" s="15"/>
      <c r="X73" s="15"/>
      <c r="Y73" s="15"/>
      <c r="Z73" s="15"/>
    </row>
    <row r="74" spans="1:26" ht="22.5" customHeight="1">
      <c r="A74" s="26">
        <v>2</v>
      </c>
      <c r="B74" s="26" t="s">
        <v>398</v>
      </c>
      <c r="C74" s="26">
        <v>23</v>
      </c>
      <c r="D74" s="29" t="s">
        <v>1371</v>
      </c>
      <c r="E74" s="31">
        <v>237</v>
      </c>
      <c r="F74" s="31" t="s">
        <v>1788</v>
      </c>
      <c r="G74" s="56" t="s">
        <v>1791</v>
      </c>
      <c r="H74" s="50" t="s">
        <v>1832</v>
      </c>
      <c r="I74" s="52" t="s">
        <v>1835</v>
      </c>
      <c r="J74" s="34" t="s">
        <v>1837</v>
      </c>
      <c r="K74" s="36"/>
      <c r="L74" s="31" t="s">
        <v>1811</v>
      </c>
      <c r="M74" s="31" t="s">
        <v>1788</v>
      </c>
      <c r="N74" s="52" t="s">
        <v>1812</v>
      </c>
      <c r="O74" s="42" t="s">
        <v>1813</v>
      </c>
      <c r="P74" s="42" t="s">
        <v>1814</v>
      </c>
      <c r="Q74" s="70" t="s">
        <v>1842</v>
      </c>
      <c r="R74" s="38"/>
      <c r="S74" s="73"/>
      <c r="T74" s="15"/>
      <c r="U74" s="15"/>
      <c r="V74" s="15"/>
      <c r="W74" s="15"/>
      <c r="X74" s="15"/>
      <c r="Y74" s="15"/>
      <c r="Z74" s="15"/>
    </row>
    <row r="75" spans="1:26" ht="27.75" customHeight="1">
      <c r="A75" s="26">
        <v>2</v>
      </c>
      <c r="B75" s="26" t="s">
        <v>398</v>
      </c>
      <c r="C75" s="26">
        <v>23</v>
      </c>
      <c r="D75" s="29" t="s">
        <v>1371</v>
      </c>
      <c r="E75" s="31">
        <v>237</v>
      </c>
      <c r="F75" s="31" t="s">
        <v>1788</v>
      </c>
      <c r="G75" s="56" t="s">
        <v>1791</v>
      </c>
      <c r="H75" s="33" t="s">
        <v>1847</v>
      </c>
      <c r="I75" s="29"/>
      <c r="J75" s="38"/>
      <c r="K75" s="48"/>
      <c r="L75" s="38" t="s">
        <v>1671</v>
      </c>
      <c r="M75" s="38"/>
      <c r="N75" s="29"/>
      <c r="O75" s="38" t="s">
        <v>559</v>
      </c>
      <c r="P75" s="38" t="s">
        <v>625</v>
      </c>
      <c r="Q75" s="48" t="s">
        <v>1674</v>
      </c>
      <c r="R75" s="38"/>
      <c r="S75" s="44"/>
      <c r="T75" s="15"/>
      <c r="U75" s="15"/>
      <c r="V75" s="15"/>
      <c r="W75" s="15"/>
      <c r="X75" s="15"/>
      <c r="Y75" s="15"/>
      <c r="Z75" s="15"/>
    </row>
    <row r="76" spans="1:26" ht="22.5" customHeight="1">
      <c r="A76" s="26">
        <v>2</v>
      </c>
      <c r="B76" s="26" t="s">
        <v>398</v>
      </c>
      <c r="C76" s="26">
        <v>23</v>
      </c>
      <c r="D76" s="29" t="s">
        <v>1371</v>
      </c>
      <c r="E76" s="31">
        <v>237</v>
      </c>
      <c r="F76" s="31" t="s">
        <v>1788</v>
      </c>
      <c r="G76" s="56" t="s">
        <v>1791</v>
      </c>
      <c r="H76" s="50" t="s">
        <v>1788</v>
      </c>
      <c r="I76" s="40" t="s">
        <v>1788</v>
      </c>
      <c r="J76" s="31" t="s">
        <v>1861</v>
      </c>
      <c r="K76" s="36"/>
      <c r="L76" s="31" t="s">
        <v>1811</v>
      </c>
      <c r="M76" s="31" t="s">
        <v>1788</v>
      </c>
      <c r="N76" s="52" t="s">
        <v>1812</v>
      </c>
      <c r="O76" s="42" t="s">
        <v>1813</v>
      </c>
      <c r="P76" s="42"/>
      <c r="Q76" s="70"/>
      <c r="R76" s="42"/>
      <c r="S76" s="44"/>
      <c r="T76" s="15"/>
      <c r="U76" s="15"/>
      <c r="V76" s="15"/>
      <c r="W76" s="15"/>
      <c r="X76" s="15"/>
      <c r="Y76" s="15"/>
      <c r="Z76" s="15"/>
    </row>
    <row r="77" spans="1:26" ht="22.5" customHeight="1">
      <c r="A77" s="26">
        <v>2</v>
      </c>
      <c r="B77" s="26" t="s">
        <v>398</v>
      </c>
      <c r="C77" s="26">
        <v>23</v>
      </c>
      <c r="D77" s="29" t="s">
        <v>1371</v>
      </c>
      <c r="E77" s="31">
        <v>237</v>
      </c>
      <c r="F77" s="31" t="s">
        <v>1788</v>
      </c>
      <c r="G77" s="56" t="s">
        <v>1791</v>
      </c>
      <c r="H77" s="33" t="s">
        <v>1864</v>
      </c>
      <c r="I77" s="29"/>
      <c r="J77" s="38"/>
      <c r="K77" s="48"/>
      <c r="L77" s="38" t="s">
        <v>1865</v>
      </c>
      <c r="M77" s="38"/>
      <c r="N77" s="29"/>
      <c r="O77" s="38" t="s">
        <v>559</v>
      </c>
      <c r="P77" s="38" t="s">
        <v>625</v>
      </c>
      <c r="Q77" s="38" t="s">
        <v>1867</v>
      </c>
      <c r="R77" s="38"/>
      <c r="S77" s="44"/>
      <c r="T77" s="15"/>
      <c r="U77" s="15"/>
      <c r="V77" s="15"/>
      <c r="W77" s="15"/>
      <c r="X77" s="15"/>
      <c r="Y77" s="15"/>
      <c r="Z77" s="15"/>
    </row>
    <row r="78" spans="1:26" ht="22.5" customHeight="1">
      <c r="A78" s="26">
        <v>2</v>
      </c>
      <c r="B78" s="26" t="s">
        <v>398</v>
      </c>
      <c r="C78" s="26">
        <v>23</v>
      </c>
      <c r="D78" s="29" t="s">
        <v>1371</v>
      </c>
      <c r="E78" s="31">
        <v>237</v>
      </c>
      <c r="F78" s="31" t="s">
        <v>1788</v>
      </c>
      <c r="G78" s="56" t="s">
        <v>1791</v>
      </c>
      <c r="H78" s="50" t="s">
        <v>1870</v>
      </c>
      <c r="I78" s="52" t="s">
        <v>1809</v>
      </c>
      <c r="J78" s="34" t="s">
        <v>1810</v>
      </c>
      <c r="K78" s="36"/>
      <c r="L78" s="31" t="s">
        <v>1811</v>
      </c>
      <c r="M78" s="31" t="s">
        <v>1788</v>
      </c>
      <c r="N78" s="52" t="s">
        <v>1812</v>
      </c>
      <c r="O78" s="42" t="s">
        <v>1813</v>
      </c>
      <c r="P78" s="42" t="s">
        <v>1814</v>
      </c>
      <c r="Q78" s="70" t="s">
        <v>1876</v>
      </c>
      <c r="R78" s="38"/>
      <c r="S78" s="93"/>
      <c r="T78" s="15"/>
      <c r="U78" s="15"/>
      <c r="V78" s="15"/>
      <c r="W78" s="15"/>
      <c r="X78" s="15"/>
      <c r="Y78" s="15"/>
      <c r="Z78" s="15"/>
    </row>
    <row r="79" spans="1:26" ht="22.5" customHeight="1">
      <c r="A79" s="26">
        <v>2</v>
      </c>
      <c r="B79" s="26" t="s">
        <v>398</v>
      </c>
      <c r="C79" s="26">
        <v>23</v>
      </c>
      <c r="D79" s="29" t="s">
        <v>1371</v>
      </c>
      <c r="E79" s="31">
        <v>237</v>
      </c>
      <c r="F79" s="31" t="s">
        <v>1788</v>
      </c>
      <c r="G79" s="56" t="s">
        <v>1791</v>
      </c>
      <c r="H79" s="33" t="s">
        <v>1886</v>
      </c>
      <c r="I79" s="29"/>
      <c r="J79" s="38"/>
      <c r="K79" s="48"/>
      <c r="L79" s="38" t="s">
        <v>1695</v>
      </c>
      <c r="M79" s="38"/>
      <c r="N79" s="29"/>
      <c r="O79" s="38" t="s">
        <v>559</v>
      </c>
      <c r="P79" s="38" t="s">
        <v>625</v>
      </c>
      <c r="Q79" s="48" t="s">
        <v>1700</v>
      </c>
      <c r="R79" s="38"/>
      <c r="S79" s="44"/>
      <c r="T79" s="15"/>
      <c r="U79" s="15"/>
      <c r="V79" s="15"/>
      <c r="W79" s="15"/>
      <c r="X79" s="15"/>
      <c r="Y79" s="15"/>
      <c r="Z79" s="15"/>
    </row>
    <row r="80" spans="1:26" ht="22.5" customHeight="1">
      <c r="A80" s="26">
        <v>2</v>
      </c>
      <c r="B80" s="26" t="s">
        <v>398</v>
      </c>
      <c r="C80" s="26">
        <v>23</v>
      </c>
      <c r="D80" s="29" t="s">
        <v>1371</v>
      </c>
      <c r="E80" s="31">
        <v>237</v>
      </c>
      <c r="F80" s="31" t="s">
        <v>1788</v>
      </c>
      <c r="G80" s="56" t="s">
        <v>1791</v>
      </c>
      <c r="H80" s="33" t="s">
        <v>1892</v>
      </c>
      <c r="I80" s="29"/>
      <c r="J80" s="38"/>
      <c r="K80" s="48"/>
      <c r="L80" s="38" t="s">
        <v>1893</v>
      </c>
      <c r="M80" s="38"/>
      <c r="N80" s="29"/>
      <c r="O80" s="38" t="s">
        <v>559</v>
      </c>
      <c r="P80" s="38" t="s">
        <v>625</v>
      </c>
      <c r="Q80" s="48" t="s">
        <v>1896</v>
      </c>
      <c r="R80" s="38"/>
      <c r="S80" s="44"/>
      <c r="T80" s="15"/>
      <c r="U80" s="15"/>
      <c r="V80" s="15"/>
      <c r="W80" s="15"/>
      <c r="X80" s="15"/>
      <c r="Y80" s="15"/>
      <c r="Z80" s="15"/>
    </row>
    <row r="81" spans="1:26" ht="22.5" customHeight="1">
      <c r="A81" s="26">
        <v>2</v>
      </c>
      <c r="B81" s="26" t="s">
        <v>398</v>
      </c>
      <c r="C81" s="26">
        <v>23</v>
      </c>
      <c r="D81" s="29" t="s">
        <v>1371</v>
      </c>
      <c r="E81" s="31">
        <v>237</v>
      </c>
      <c r="F81" s="31" t="s">
        <v>1788</v>
      </c>
      <c r="G81" s="56" t="s">
        <v>1791</v>
      </c>
      <c r="H81" s="33" t="s">
        <v>1907</v>
      </c>
      <c r="I81" s="29"/>
      <c r="J81" s="38"/>
      <c r="K81" s="48"/>
      <c r="L81" s="38" t="s">
        <v>1893</v>
      </c>
      <c r="M81" s="38"/>
      <c r="N81" s="29"/>
      <c r="O81" s="38" t="s">
        <v>559</v>
      </c>
      <c r="P81" s="38" t="s">
        <v>625</v>
      </c>
      <c r="Q81" s="48" t="s">
        <v>1896</v>
      </c>
      <c r="R81" s="38"/>
      <c r="S81" s="44"/>
      <c r="T81" s="15"/>
      <c r="U81" s="15"/>
      <c r="V81" s="15"/>
      <c r="W81" s="15"/>
      <c r="X81" s="15"/>
      <c r="Y81" s="15"/>
      <c r="Z81" s="15"/>
    </row>
    <row r="82" spans="1:26" ht="22.5" customHeight="1">
      <c r="A82" s="26">
        <v>2</v>
      </c>
      <c r="B82" s="26" t="s">
        <v>398</v>
      </c>
      <c r="C82" s="26">
        <v>23</v>
      </c>
      <c r="D82" s="29" t="s">
        <v>1371</v>
      </c>
      <c r="E82" s="31">
        <v>238</v>
      </c>
      <c r="F82" s="31" t="s">
        <v>1021</v>
      </c>
      <c r="G82" s="56" t="s">
        <v>1157</v>
      </c>
      <c r="H82" s="50" t="s">
        <v>1921</v>
      </c>
      <c r="I82" s="40" t="s">
        <v>1923</v>
      </c>
      <c r="J82" s="42" t="s">
        <v>1192</v>
      </c>
      <c r="K82" s="36"/>
      <c r="L82" s="31" t="s">
        <v>1924</v>
      </c>
      <c r="M82" s="31" t="s">
        <v>1926</v>
      </c>
      <c r="N82" s="52" t="s">
        <v>1927</v>
      </c>
      <c r="O82" s="42" t="s">
        <v>1034</v>
      </c>
      <c r="P82" s="70"/>
      <c r="Q82" s="70"/>
      <c r="R82" s="42"/>
      <c r="S82" s="44"/>
      <c r="T82" s="15"/>
      <c r="U82" s="15"/>
      <c r="V82" s="15"/>
      <c r="W82" s="15"/>
      <c r="X82" s="15"/>
      <c r="Y82" s="15"/>
      <c r="Z82" s="15"/>
    </row>
    <row r="83" spans="1:26" ht="22.5" customHeight="1">
      <c r="A83" s="26">
        <v>2</v>
      </c>
      <c r="B83" s="26" t="s">
        <v>398</v>
      </c>
      <c r="C83" s="26">
        <v>23</v>
      </c>
      <c r="D83" s="29" t="s">
        <v>1371</v>
      </c>
      <c r="E83" s="31">
        <v>238</v>
      </c>
      <c r="F83" s="31" t="s">
        <v>1021</v>
      </c>
      <c r="G83" s="56" t="s">
        <v>1157</v>
      </c>
      <c r="H83" s="59" t="s">
        <v>1933</v>
      </c>
      <c r="I83" s="32" t="s">
        <v>1934</v>
      </c>
      <c r="J83" s="31"/>
      <c r="K83" s="36"/>
      <c r="L83" s="31" t="s">
        <v>1248</v>
      </c>
      <c r="M83" s="38" t="s">
        <v>1249</v>
      </c>
      <c r="N83" s="52" t="s">
        <v>1250</v>
      </c>
      <c r="O83" s="42" t="s">
        <v>652</v>
      </c>
      <c r="P83" s="42" t="s">
        <v>1251</v>
      </c>
      <c r="Q83" s="42" t="s">
        <v>768</v>
      </c>
      <c r="R83" s="42"/>
      <c r="S83" s="44"/>
      <c r="T83" s="15"/>
      <c r="U83" s="15"/>
      <c r="V83" s="15"/>
      <c r="W83" s="15"/>
      <c r="X83" s="15"/>
      <c r="Y83" s="15"/>
      <c r="Z83" s="15"/>
    </row>
    <row r="84" spans="1:26" ht="22.5" customHeight="1">
      <c r="A84" s="26">
        <v>2</v>
      </c>
      <c r="B84" s="26" t="s">
        <v>398</v>
      </c>
      <c r="C84" s="26">
        <v>23</v>
      </c>
      <c r="D84" s="29" t="s">
        <v>1371</v>
      </c>
      <c r="E84" s="31">
        <v>239</v>
      </c>
      <c r="F84" s="31" t="s">
        <v>1946</v>
      </c>
      <c r="G84" s="32" t="s">
        <v>1949</v>
      </c>
      <c r="H84" s="50" t="s">
        <v>1950</v>
      </c>
      <c r="I84" s="40" t="s">
        <v>1950</v>
      </c>
      <c r="J84" s="42" t="s">
        <v>1951</v>
      </c>
      <c r="K84" s="36"/>
      <c r="L84" s="38"/>
      <c r="M84" s="38"/>
      <c r="N84" s="40"/>
      <c r="O84" s="42" t="s">
        <v>1953</v>
      </c>
      <c r="P84" s="97"/>
      <c r="Q84" s="42"/>
      <c r="R84" s="42"/>
      <c r="S84" s="44"/>
      <c r="T84" s="15"/>
      <c r="U84" s="15"/>
      <c r="V84" s="15"/>
      <c r="W84" s="15"/>
      <c r="X84" s="15"/>
      <c r="Y84" s="15"/>
      <c r="Z84" s="15"/>
    </row>
    <row r="85" spans="1:26" ht="22.5" customHeight="1">
      <c r="A85" s="134">
        <v>2</v>
      </c>
      <c r="B85" s="134" t="s">
        <v>398</v>
      </c>
      <c r="C85" s="134">
        <v>24</v>
      </c>
      <c r="D85" s="135" t="s">
        <v>1977</v>
      </c>
      <c r="E85" s="126">
        <v>241</v>
      </c>
      <c r="F85" s="126" t="s">
        <v>1978</v>
      </c>
      <c r="G85" s="137" t="s">
        <v>1984</v>
      </c>
      <c r="H85" s="139" t="s">
        <v>1987</v>
      </c>
      <c r="I85" s="129" t="s">
        <v>1978</v>
      </c>
      <c r="J85" s="126" t="s">
        <v>1989</v>
      </c>
      <c r="K85" s="132"/>
      <c r="L85" s="126" t="s">
        <v>1387</v>
      </c>
      <c r="M85" s="126" t="s">
        <v>865</v>
      </c>
      <c r="N85" s="129" t="s">
        <v>1392</v>
      </c>
      <c r="O85" s="128" t="s">
        <v>800</v>
      </c>
      <c r="P85" s="128"/>
      <c r="Q85" s="132"/>
      <c r="R85" s="42" t="s">
        <v>1998</v>
      </c>
      <c r="S85" s="131"/>
      <c r="T85" s="15"/>
      <c r="U85" s="15"/>
      <c r="V85" s="15"/>
      <c r="W85" s="15"/>
      <c r="X85" s="15"/>
      <c r="Y85" s="15"/>
      <c r="Z85" s="15"/>
    </row>
    <row r="86" spans="1:26" ht="22.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42" t="s">
        <v>1402</v>
      </c>
      <c r="S86" s="127"/>
      <c r="T86" s="15"/>
      <c r="U86" s="15"/>
      <c r="V86" s="15"/>
      <c r="W86" s="15"/>
      <c r="X86" s="15"/>
      <c r="Y86" s="15"/>
      <c r="Z86" s="15"/>
    </row>
    <row r="87" spans="1:26" ht="22.5" customHeight="1">
      <c r="A87" s="134">
        <v>2</v>
      </c>
      <c r="B87" s="134" t="s">
        <v>398</v>
      </c>
      <c r="C87" s="134">
        <v>24</v>
      </c>
      <c r="D87" s="135" t="s">
        <v>1977</v>
      </c>
      <c r="E87" s="126">
        <v>242</v>
      </c>
      <c r="F87" s="126" t="s">
        <v>2011</v>
      </c>
      <c r="G87" s="137" t="s">
        <v>1984</v>
      </c>
      <c r="H87" s="139" t="s">
        <v>2015</v>
      </c>
      <c r="I87" s="129" t="s">
        <v>2011</v>
      </c>
      <c r="J87" s="126" t="s">
        <v>2023</v>
      </c>
      <c r="K87" s="132"/>
      <c r="L87" s="126" t="s">
        <v>1387</v>
      </c>
      <c r="M87" s="126" t="s">
        <v>865</v>
      </c>
      <c r="N87" s="129" t="s">
        <v>1392</v>
      </c>
      <c r="O87" s="128" t="s">
        <v>800</v>
      </c>
      <c r="P87" s="140"/>
      <c r="Q87" s="132"/>
      <c r="R87" s="42" t="s">
        <v>1998</v>
      </c>
      <c r="S87" s="131"/>
      <c r="T87" s="15"/>
      <c r="U87" s="15"/>
      <c r="V87" s="15"/>
      <c r="W87" s="15"/>
      <c r="X87" s="15"/>
      <c r="Y87" s="15"/>
      <c r="Z87" s="15"/>
    </row>
    <row r="88" spans="1:26" ht="22.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42" t="s">
        <v>1418</v>
      </c>
      <c r="S88" s="127"/>
      <c r="T88" s="15"/>
      <c r="U88" s="15"/>
      <c r="V88" s="15"/>
      <c r="W88" s="15"/>
      <c r="X88" s="15"/>
      <c r="Y88" s="15"/>
      <c r="Z88" s="15"/>
    </row>
    <row r="89" spans="1:26" ht="22.5" customHeight="1">
      <c r="A89" s="26">
        <v>2</v>
      </c>
      <c r="B89" s="26" t="s">
        <v>398</v>
      </c>
      <c r="C89" s="26">
        <v>24</v>
      </c>
      <c r="D89" s="29" t="s">
        <v>1977</v>
      </c>
      <c r="E89" s="31">
        <v>243</v>
      </c>
      <c r="F89" s="34" t="s">
        <v>2040</v>
      </c>
      <c r="G89" s="56" t="s">
        <v>2041</v>
      </c>
      <c r="H89" s="88" t="s">
        <v>2042</v>
      </c>
      <c r="I89" s="32" t="s">
        <v>2043</v>
      </c>
      <c r="J89" s="31" t="s">
        <v>2043</v>
      </c>
      <c r="K89" s="36"/>
      <c r="L89" s="31" t="s">
        <v>1387</v>
      </c>
      <c r="M89" s="31" t="s">
        <v>865</v>
      </c>
      <c r="N89" s="40" t="s">
        <v>1392</v>
      </c>
      <c r="O89" s="42" t="s">
        <v>1507</v>
      </c>
      <c r="P89" s="70"/>
      <c r="Q89" s="70"/>
      <c r="R89" s="42" t="s">
        <v>2045</v>
      </c>
      <c r="S89" s="44"/>
      <c r="T89" s="15"/>
      <c r="U89" s="15"/>
      <c r="V89" s="15"/>
      <c r="W89" s="15"/>
      <c r="X89" s="15"/>
      <c r="Y89" s="15"/>
      <c r="Z89" s="15"/>
    </row>
    <row r="90" spans="1:26" ht="22.5" customHeight="1">
      <c r="A90" s="26">
        <v>2</v>
      </c>
      <c r="B90" s="26" t="s">
        <v>398</v>
      </c>
      <c r="C90" s="26">
        <v>24</v>
      </c>
      <c r="D90" s="29" t="s">
        <v>1977</v>
      </c>
      <c r="E90" s="31">
        <v>243</v>
      </c>
      <c r="F90" s="34" t="s">
        <v>2040</v>
      </c>
      <c r="G90" s="56" t="s">
        <v>2041</v>
      </c>
      <c r="H90" s="88" t="s">
        <v>2049</v>
      </c>
      <c r="I90" s="56" t="s">
        <v>2050</v>
      </c>
      <c r="J90" s="34" t="s">
        <v>2050</v>
      </c>
      <c r="K90" s="36"/>
      <c r="L90" s="31" t="s">
        <v>1387</v>
      </c>
      <c r="M90" s="31" t="s">
        <v>865</v>
      </c>
      <c r="N90" s="40" t="s">
        <v>1392</v>
      </c>
      <c r="O90" s="42" t="s">
        <v>800</v>
      </c>
      <c r="P90" s="42" t="s">
        <v>802</v>
      </c>
      <c r="Q90" s="70" t="s">
        <v>2054</v>
      </c>
      <c r="R90" s="42" t="s">
        <v>1998</v>
      </c>
      <c r="S90" s="44"/>
      <c r="T90" s="15"/>
      <c r="U90" s="15"/>
      <c r="V90" s="15"/>
      <c r="W90" s="15"/>
      <c r="X90" s="15"/>
      <c r="Y90" s="15"/>
      <c r="Z90" s="15"/>
    </row>
    <row r="91" spans="1:26" ht="22.5" customHeight="1">
      <c r="A91" s="26">
        <v>2</v>
      </c>
      <c r="B91" s="26" t="s">
        <v>398</v>
      </c>
      <c r="C91" s="26">
        <v>24</v>
      </c>
      <c r="D91" s="29" t="s">
        <v>1977</v>
      </c>
      <c r="E91" s="31">
        <v>244</v>
      </c>
      <c r="F91" s="34" t="s">
        <v>2060</v>
      </c>
      <c r="G91" s="56" t="s">
        <v>2062</v>
      </c>
      <c r="H91" s="66" t="s">
        <v>2063</v>
      </c>
      <c r="I91" s="32"/>
      <c r="J91" s="31" t="s">
        <v>2064</v>
      </c>
      <c r="K91" s="36"/>
      <c r="L91" s="31" t="s">
        <v>2065</v>
      </c>
      <c r="M91" s="31" t="s">
        <v>2066</v>
      </c>
      <c r="N91" s="52" t="s">
        <v>2068</v>
      </c>
      <c r="O91" s="42" t="s">
        <v>1543</v>
      </c>
      <c r="P91" s="70"/>
      <c r="Q91" s="36"/>
      <c r="R91" s="70" t="s">
        <v>2070</v>
      </c>
      <c r="S91" s="44"/>
      <c r="T91" s="15"/>
      <c r="U91" s="15"/>
      <c r="V91" s="15"/>
      <c r="W91" s="15"/>
      <c r="X91" s="15"/>
      <c r="Y91" s="15"/>
      <c r="Z91" s="15"/>
    </row>
    <row r="92" spans="1:26" ht="22.5" customHeight="1">
      <c r="A92" s="26">
        <v>2</v>
      </c>
      <c r="B92" s="26" t="s">
        <v>398</v>
      </c>
      <c r="C92" s="26">
        <v>24</v>
      </c>
      <c r="D92" s="29" t="s">
        <v>1977</v>
      </c>
      <c r="E92" s="31">
        <v>244</v>
      </c>
      <c r="F92" s="34" t="s">
        <v>2060</v>
      </c>
      <c r="G92" s="56" t="s">
        <v>2062</v>
      </c>
      <c r="H92" s="88" t="s">
        <v>2076</v>
      </c>
      <c r="I92" s="32" t="s">
        <v>2076</v>
      </c>
      <c r="J92" s="34" t="s">
        <v>2078</v>
      </c>
      <c r="K92" s="36"/>
      <c r="L92" s="31" t="s">
        <v>2080</v>
      </c>
      <c r="M92" s="31" t="s">
        <v>2082</v>
      </c>
      <c r="N92" s="40" t="s">
        <v>2084</v>
      </c>
      <c r="O92" s="42" t="s">
        <v>800</v>
      </c>
      <c r="P92" s="42" t="s">
        <v>802</v>
      </c>
      <c r="Q92" s="70" t="s">
        <v>2086</v>
      </c>
      <c r="R92" s="42" t="s">
        <v>1998</v>
      </c>
      <c r="S92" s="44"/>
      <c r="T92" s="15"/>
      <c r="U92" s="15"/>
      <c r="V92" s="15"/>
      <c r="W92" s="15"/>
      <c r="X92" s="15"/>
      <c r="Y92" s="15"/>
      <c r="Z92" s="15"/>
    </row>
    <row r="93" spans="1:26" ht="22.5" customHeight="1">
      <c r="A93" s="26">
        <v>2</v>
      </c>
      <c r="B93" s="26" t="s">
        <v>398</v>
      </c>
      <c r="C93" s="26">
        <v>24</v>
      </c>
      <c r="D93" s="29" t="s">
        <v>1977</v>
      </c>
      <c r="E93" s="31">
        <v>244</v>
      </c>
      <c r="F93" s="34" t="s">
        <v>2060</v>
      </c>
      <c r="G93" s="56" t="s">
        <v>2062</v>
      </c>
      <c r="H93" s="90" t="s">
        <v>2092</v>
      </c>
      <c r="I93" s="32" t="s">
        <v>2092</v>
      </c>
      <c r="J93" s="31" t="s">
        <v>2093</v>
      </c>
      <c r="K93" s="36"/>
      <c r="L93" s="31" t="s">
        <v>2094</v>
      </c>
      <c r="M93" s="31" t="s">
        <v>2095</v>
      </c>
      <c r="N93" s="52" t="s">
        <v>2096</v>
      </c>
      <c r="O93" s="42" t="s">
        <v>1034</v>
      </c>
      <c r="P93" s="42" t="s">
        <v>1035</v>
      </c>
      <c r="Q93" s="42" t="s">
        <v>2098</v>
      </c>
      <c r="R93" s="42"/>
      <c r="S93" s="44"/>
      <c r="T93" s="15"/>
      <c r="U93" s="15"/>
      <c r="V93" s="15"/>
      <c r="W93" s="15"/>
      <c r="X93" s="15"/>
      <c r="Y93" s="15"/>
      <c r="Z93" s="15"/>
    </row>
    <row r="94" spans="1:26" ht="22.5" customHeight="1">
      <c r="A94" s="26">
        <v>2</v>
      </c>
      <c r="B94" s="26" t="s">
        <v>398</v>
      </c>
      <c r="C94" s="26">
        <v>24</v>
      </c>
      <c r="D94" s="29" t="s">
        <v>1977</v>
      </c>
      <c r="E94" s="31">
        <v>244</v>
      </c>
      <c r="F94" s="34" t="s">
        <v>2060</v>
      </c>
      <c r="G94" s="56" t="s">
        <v>2062</v>
      </c>
      <c r="H94" s="92" t="s">
        <v>2103</v>
      </c>
      <c r="I94" s="32"/>
      <c r="J94" s="31" t="s">
        <v>2104</v>
      </c>
      <c r="K94" s="36"/>
      <c r="L94" s="31" t="s">
        <v>1667</v>
      </c>
      <c r="M94" s="31" t="s">
        <v>1685</v>
      </c>
      <c r="N94" s="52" t="s">
        <v>1687</v>
      </c>
      <c r="O94" s="42" t="s">
        <v>1690</v>
      </c>
      <c r="P94" s="70"/>
      <c r="Q94" s="36"/>
      <c r="R94" s="70" t="s">
        <v>2107</v>
      </c>
      <c r="S94" s="44"/>
      <c r="T94" s="15"/>
      <c r="U94" s="15"/>
      <c r="V94" s="15"/>
      <c r="W94" s="15"/>
      <c r="X94" s="15"/>
      <c r="Y94" s="15"/>
      <c r="Z94" s="15"/>
    </row>
    <row r="95" spans="1:26" ht="22.5" customHeight="1">
      <c r="A95" s="134">
        <v>2</v>
      </c>
      <c r="B95" s="134" t="s">
        <v>398</v>
      </c>
      <c r="C95" s="134">
        <v>24</v>
      </c>
      <c r="D95" s="135" t="s">
        <v>1977</v>
      </c>
      <c r="E95" s="126">
        <v>245</v>
      </c>
      <c r="F95" s="126" t="s">
        <v>2116</v>
      </c>
      <c r="G95" s="137"/>
      <c r="H95" s="136" t="s">
        <v>2121</v>
      </c>
      <c r="I95" s="137" t="s">
        <v>2116</v>
      </c>
      <c r="J95" s="126" t="s">
        <v>2124</v>
      </c>
      <c r="K95" s="132"/>
      <c r="L95" s="126" t="s">
        <v>1387</v>
      </c>
      <c r="M95" s="126" t="s">
        <v>865</v>
      </c>
      <c r="N95" s="129" t="s">
        <v>1392</v>
      </c>
      <c r="O95" s="128" t="s">
        <v>800</v>
      </c>
      <c r="P95" s="130"/>
      <c r="Q95" s="130"/>
      <c r="R95" s="42" t="s">
        <v>1998</v>
      </c>
      <c r="S95" s="131"/>
      <c r="T95" s="15"/>
      <c r="U95" s="15"/>
      <c r="V95" s="15"/>
      <c r="W95" s="15"/>
      <c r="X95" s="15"/>
      <c r="Y95" s="15"/>
      <c r="Z95" s="15"/>
    </row>
    <row r="96" spans="1:26" ht="22.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42" t="s">
        <v>1418</v>
      </c>
      <c r="S96" s="127"/>
      <c r="T96" s="15"/>
      <c r="U96" s="15"/>
      <c r="V96" s="15"/>
      <c r="W96" s="15"/>
      <c r="X96" s="15"/>
      <c r="Y96" s="15"/>
      <c r="Z96" s="15"/>
    </row>
    <row r="97" spans="1:26" ht="22.5" customHeight="1">
      <c r="A97" s="26">
        <v>2</v>
      </c>
      <c r="B97" s="26" t="s">
        <v>398</v>
      </c>
      <c r="C97" s="26">
        <v>24</v>
      </c>
      <c r="D97" s="29" t="s">
        <v>1977</v>
      </c>
      <c r="E97" s="31">
        <v>246</v>
      </c>
      <c r="F97" s="31" t="s">
        <v>1189</v>
      </c>
      <c r="G97" s="56" t="s">
        <v>2141</v>
      </c>
      <c r="H97" s="92" t="s">
        <v>2143</v>
      </c>
      <c r="I97" s="56" t="s">
        <v>2143</v>
      </c>
      <c r="J97" s="34" t="s">
        <v>2144</v>
      </c>
      <c r="K97" s="36"/>
      <c r="L97" s="31" t="s">
        <v>1203</v>
      </c>
      <c r="M97" s="31" t="s">
        <v>1204</v>
      </c>
      <c r="N97" s="52" t="s">
        <v>1205</v>
      </c>
      <c r="O97" s="42" t="s">
        <v>1034</v>
      </c>
      <c r="P97" s="42" t="s">
        <v>1035</v>
      </c>
      <c r="Q97" s="42" t="s">
        <v>1214</v>
      </c>
      <c r="R97" s="42"/>
      <c r="S97" s="44"/>
      <c r="T97" s="15"/>
      <c r="U97" s="15"/>
      <c r="V97" s="15"/>
      <c r="W97" s="15"/>
      <c r="X97" s="15"/>
      <c r="Y97" s="15"/>
      <c r="Z97" s="15"/>
    </row>
    <row r="98" spans="1:26" ht="22.5" customHeight="1">
      <c r="A98" s="26">
        <v>2</v>
      </c>
      <c r="B98" s="26" t="s">
        <v>398</v>
      </c>
      <c r="C98" s="26">
        <v>24</v>
      </c>
      <c r="D98" s="29" t="s">
        <v>1977</v>
      </c>
      <c r="E98" s="31">
        <v>248</v>
      </c>
      <c r="F98" s="31" t="s">
        <v>1021</v>
      </c>
      <c r="G98" s="56" t="s">
        <v>2151</v>
      </c>
      <c r="H98" s="59" t="s">
        <v>2153</v>
      </c>
      <c r="I98" s="40" t="s">
        <v>1934</v>
      </c>
      <c r="J98" s="31"/>
      <c r="K98" s="36"/>
      <c r="L98" s="31" t="s">
        <v>1248</v>
      </c>
      <c r="M98" s="38" t="s">
        <v>1249</v>
      </c>
      <c r="N98" s="52" t="s">
        <v>1250</v>
      </c>
      <c r="O98" s="42" t="s">
        <v>652</v>
      </c>
      <c r="P98" s="42" t="s">
        <v>1251</v>
      </c>
      <c r="Q98" s="42" t="s">
        <v>768</v>
      </c>
      <c r="R98" s="42"/>
      <c r="S98" s="44"/>
      <c r="T98" s="15"/>
      <c r="U98" s="15"/>
      <c r="V98" s="15"/>
      <c r="W98" s="15"/>
      <c r="X98" s="15"/>
      <c r="Y98" s="15"/>
      <c r="Z98" s="15"/>
    </row>
    <row r="99" spans="1:26" ht="22.5" customHeight="1">
      <c r="A99" s="26">
        <v>2</v>
      </c>
      <c r="B99" s="26" t="s">
        <v>398</v>
      </c>
      <c r="C99" s="26">
        <v>25</v>
      </c>
      <c r="D99" s="29" t="s">
        <v>2160</v>
      </c>
      <c r="E99" s="31">
        <v>251</v>
      </c>
      <c r="F99" s="31" t="s">
        <v>2162</v>
      </c>
      <c r="G99" s="56" t="s">
        <v>2163</v>
      </c>
      <c r="H99" s="50" t="s">
        <v>2165</v>
      </c>
      <c r="I99" s="32" t="s">
        <v>2167</v>
      </c>
      <c r="J99" s="34" t="s">
        <v>2169</v>
      </c>
      <c r="K99" s="36"/>
      <c r="L99" s="31" t="s">
        <v>906</v>
      </c>
      <c r="M99" s="31" t="s">
        <v>907</v>
      </c>
      <c r="N99" s="52" t="s">
        <v>909</v>
      </c>
      <c r="O99" s="70" t="s">
        <v>928</v>
      </c>
      <c r="P99" s="42" t="s">
        <v>973</v>
      </c>
      <c r="Q99" s="70" t="s">
        <v>2170</v>
      </c>
      <c r="R99" s="42" t="s">
        <v>2171</v>
      </c>
      <c r="S99" s="44"/>
      <c r="T99" s="15"/>
      <c r="U99" s="15"/>
      <c r="V99" s="15"/>
      <c r="W99" s="15"/>
      <c r="X99" s="15"/>
      <c r="Y99" s="15"/>
      <c r="Z99" s="15"/>
    </row>
    <row r="100" spans="1:26" ht="22.5" customHeight="1">
      <c r="A100" s="26">
        <v>2</v>
      </c>
      <c r="B100" s="26" t="s">
        <v>398</v>
      </c>
      <c r="C100" s="26">
        <v>25</v>
      </c>
      <c r="D100" s="29" t="s">
        <v>2160</v>
      </c>
      <c r="E100" s="31">
        <v>251</v>
      </c>
      <c r="F100" s="31" t="s">
        <v>2162</v>
      </c>
      <c r="G100" s="56" t="s">
        <v>2163</v>
      </c>
      <c r="H100" s="50" t="s">
        <v>2173</v>
      </c>
      <c r="I100" s="32"/>
      <c r="J100" s="34" t="s">
        <v>2174</v>
      </c>
      <c r="K100" s="36"/>
      <c r="L100" s="31" t="s">
        <v>2178</v>
      </c>
      <c r="M100" s="31" t="s">
        <v>2182</v>
      </c>
      <c r="N100" s="52" t="s">
        <v>2183</v>
      </c>
      <c r="O100" s="70" t="s">
        <v>1100</v>
      </c>
      <c r="P100" s="70" t="s">
        <v>2184</v>
      </c>
      <c r="Q100" s="42" t="s">
        <v>2185</v>
      </c>
      <c r="R100" s="42" t="s">
        <v>2186</v>
      </c>
      <c r="S100" s="44"/>
      <c r="T100" s="15"/>
      <c r="U100" s="15"/>
      <c r="V100" s="15"/>
      <c r="W100" s="15"/>
      <c r="X100" s="15"/>
      <c r="Y100" s="15"/>
      <c r="Z100" s="15"/>
    </row>
    <row r="101" spans="1:26" ht="22.5" customHeight="1">
      <c r="A101" s="26">
        <v>2</v>
      </c>
      <c r="B101" s="26" t="s">
        <v>398</v>
      </c>
      <c r="C101" s="26">
        <v>25</v>
      </c>
      <c r="D101" s="29" t="s">
        <v>2160</v>
      </c>
      <c r="E101" s="31">
        <v>251</v>
      </c>
      <c r="F101" s="31" t="s">
        <v>2162</v>
      </c>
      <c r="G101" s="56" t="s">
        <v>2163</v>
      </c>
      <c r="H101" s="50" t="s">
        <v>2193</v>
      </c>
      <c r="I101" s="32"/>
      <c r="J101" s="34" t="s">
        <v>2194</v>
      </c>
      <c r="K101" s="36"/>
      <c r="L101" s="31" t="s">
        <v>2178</v>
      </c>
      <c r="M101" s="31" t="s">
        <v>2182</v>
      </c>
      <c r="N101" s="52" t="s">
        <v>2183</v>
      </c>
      <c r="O101" s="70" t="s">
        <v>928</v>
      </c>
      <c r="P101" s="42" t="s">
        <v>973</v>
      </c>
      <c r="Q101" s="70" t="s">
        <v>2170</v>
      </c>
      <c r="R101" s="42" t="s">
        <v>2171</v>
      </c>
      <c r="S101" s="44"/>
      <c r="T101" s="15"/>
      <c r="U101" s="15"/>
      <c r="V101" s="15"/>
      <c r="W101" s="15"/>
      <c r="X101" s="15"/>
      <c r="Y101" s="15"/>
      <c r="Z101" s="15"/>
    </row>
    <row r="102" spans="1:26" ht="22.5" customHeight="1">
      <c r="A102" s="26">
        <v>2</v>
      </c>
      <c r="B102" s="26" t="s">
        <v>398</v>
      </c>
      <c r="C102" s="26">
        <v>25</v>
      </c>
      <c r="D102" s="29" t="s">
        <v>2160</v>
      </c>
      <c r="E102" s="31">
        <v>252</v>
      </c>
      <c r="F102" s="31" t="s">
        <v>2195</v>
      </c>
      <c r="G102" s="56" t="s">
        <v>2197</v>
      </c>
      <c r="H102" s="59" t="s">
        <v>2195</v>
      </c>
      <c r="I102" s="32"/>
      <c r="J102" s="31" t="s">
        <v>2199</v>
      </c>
      <c r="K102" s="36"/>
      <c r="L102" s="31" t="s">
        <v>906</v>
      </c>
      <c r="M102" s="31" t="s">
        <v>907</v>
      </c>
      <c r="N102" s="52" t="s">
        <v>909</v>
      </c>
      <c r="O102" s="70" t="s">
        <v>928</v>
      </c>
      <c r="P102" s="42" t="s">
        <v>973</v>
      </c>
      <c r="Q102" s="70" t="s">
        <v>975</v>
      </c>
      <c r="R102" s="42"/>
      <c r="S102" s="44"/>
      <c r="T102" s="15"/>
      <c r="U102" s="15"/>
      <c r="V102" s="15"/>
      <c r="W102" s="15"/>
      <c r="X102" s="15"/>
      <c r="Y102" s="15"/>
      <c r="Z102" s="15"/>
    </row>
    <row r="103" spans="1:26" ht="22.5" customHeight="1">
      <c r="A103" s="26">
        <v>2</v>
      </c>
      <c r="B103" s="26" t="s">
        <v>398</v>
      </c>
      <c r="C103" s="26">
        <v>25</v>
      </c>
      <c r="D103" s="29" t="s">
        <v>2160</v>
      </c>
      <c r="E103" s="31">
        <v>253</v>
      </c>
      <c r="F103" s="34" t="s">
        <v>2205</v>
      </c>
      <c r="G103" s="56" t="s">
        <v>2207</v>
      </c>
      <c r="H103" s="66" t="s">
        <v>2208</v>
      </c>
      <c r="I103" s="28" t="s">
        <v>2208</v>
      </c>
      <c r="J103" s="34" t="s">
        <v>2210</v>
      </c>
      <c r="K103" s="36"/>
      <c r="L103" s="31" t="s">
        <v>2211</v>
      </c>
      <c r="M103" s="31" t="s">
        <v>2212</v>
      </c>
      <c r="N103" s="52" t="s">
        <v>2213</v>
      </c>
      <c r="O103" s="42" t="s">
        <v>928</v>
      </c>
      <c r="P103" s="42"/>
      <c r="Q103" s="42"/>
      <c r="R103" s="42" t="s">
        <v>2217</v>
      </c>
      <c r="S103" s="44"/>
      <c r="T103" s="15"/>
      <c r="U103" s="15"/>
      <c r="V103" s="15"/>
      <c r="W103" s="15"/>
      <c r="X103" s="15"/>
      <c r="Y103" s="15"/>
      <c r="Z103" s="15"/>
    </row>
    <row r="104" spans="1:26" ht="22.5" customHeight="1">
      <c r="A104" s="26">
        <v>2</v>
      </c>
      <c r="B104" s="26" t="s">
        <v>398</v>
      </c>
      <c r="C104" s="26">
        <v>25</v>
      </c>
      <c r="D104" s="29" t="s">
        <v>2160</v>
      </c>
      <c r="E104" s="31">
        <v>253</v>
      </c>
      <c r="F104" s="34" t="s">
        <v>2205</v>
      </c>
      <c r="G104" s="56" t="s">
        <v>2207</v>
      </c>
      <c r="H104" s="66" t="s">
        <v>2232</v>
      </c>
      <c r="I104" s="28" t="s">
        <v>2232</v>
      </c>
      <c r="J104" s="34" t="s">
        <v>2234</v>
      </c>
      <c r="K104" s="36"/>
      <c r="L104" s="31" t="s">
        <v>2251</v>
      </c>
      <c r="M104" s="31" t="s">
        <v>2252</v>
      </c>
      <c r="N104" s="52" t="s">
        <v>2254</v>
      </c>
      <c r="O104" s="42" t="s">
        <v>928</v>
      </c>
      <c r="P104" s="42"/>
      <c r="Q104" s="42"/>
      <c r="R104" s="42" t="s">
        <v>2217</v>
      </c>
      <c r="S104" s="44"/>
      <c r="T104" s="15"/>
      <c r="U104" s="15"/>
      <c r="V104" s="15"/>
      <c r="W104" s="15"/>
      <c r="X104" s="15"/>
      <c r="Y104" s="15"/>
      <c r="Z104" s="15"/>
    </row>
    <row r="105" spans="1:26" ht="22.5" customHeight="1">
      <c r="A105" s="134">
        <v>2</v>
      </c>
      <c r="B105" s="134" t="s">
        <v>398</v>
      </c>
      <c r="C105" s="134">
        <v>25</v>
      </c>
      <c r="D105" s="135" t="s">
        <v>2160</v>
      </c>
      <c r="E105" s="126">
        <v>254</v>
      </c>
      <c r="F105" s="126" t="s">
        <v>2264</v>
      </c>
      <c r="G105" s="137" t="s">
        <v>2266</v>
      </c>
      <c r="H105" s="136" t="s">
        <v>2268</v>
      </c>
      <c r="I105" s="137" t="s">
        <v>2270</v>
      </c>
      <c r="J105" s="34" t="s">
        <v>2272</v>
      </c>
      <c r="K105" s="132"/>
      <c r="L105" s="126"/>
      <c r="M105" s="126"/>
      <c r="N105" s="129"/>
      <c r="O105" s="130" t="s">
        <v>928</v>
      </c>
      <c r="P105" s="128" t="s">
        <v>973</v>
      </c>
      <c r="Q105" s="128" t="s">
        <v>2170</v>
      </c>
      <c r="R105" s="128" t="s">
        <v>2217</v>
      </c>
      <c r="S105" s="131"/>
      <c r="T105" s="15"/>
      <c r="U105" s="15"/>
      <c r="V105" s="15"/>
      <c r="W105" s="15"/>
      <c r="X105" s="15"/>
      <c r="Y105" s="15"/>
      <c r="Z105" s="15"/>
    </row>
    <row r="106" spans="1:26" ht="22.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31" t="s">
        <v>2286</v>
      </c>
      <c r="K106" s="127"/>
      <c r="L106" s="127"/>
      <c r="M106" s="127"/>
      <c r="N106" s="127"/>
      <c r="O106" s="127"/>
      <c r="P106" s="127"/>
      <c r="Q106" s="127"/>
      <c r="R106" s="127"/>
      <c r="S106" s="127"/>
      <c r="T106" s="15"/>
      <c r="U106" s="15"/>
      <c r="V106" s="15"/>
      <c r="W106" s="15"/>
      <c r="X106" s="15"/>
      <c r="Y106" s="15"/>
      <c r="Z106" s="15"/>
    </row>
    <row r="107" spans="1:26" ht="22.5" customHeight="1">
      <c r="A107" s="26">
        <v>2</v>
      </c>
      <c r="B107" s="26" t="s">
        <v>398</v>
      </c>
      <c r="C107" s="26">
        <v>25</v>
      </c>
      <c r="D107" s="29" t="s">
        <v>2160</v>
      </c>
      <c r="E107" s="31">
        <v>255</v>
      </c>
      <c r="F107" s="31" t="s">
        <v>2291</v>
      </c>
      <c r="G107" s="56" t="s">
        <v>2292</v>
      </c>
      <c r="H107" s="90" t="s">
        <v>2294</v>
      </c>
      <c r="I107" s="32" t="s">
        <v>2294</v>
      </c>
      <c r="J107" s="31" t="s">
        <v>2296</v>
      </c>
      <c r="K107" s="36"/>
      <c r="L107" s="31" t="s">
        <v>2094</v>
      </c>
      <c r="M107" s="31" t="s">
        <v>2095</v>
      </c>
      <c r="N107" s="52" t="s">
        <v>2096</v>
      </c>
      <c r="O107" s="42" t="s">
        <v>1034</v>
      </c>
      <c r="P107" s="42" t="s">
        <v>1035</v>
      </c>
      <c r="Q107" s="42" t="s">
        <v>2354</v>
      </c>
      <c r="R107" s="42"/>
      <c r="S107" s="44"/>
      <c r="T107" s="15"/>
      <c r="U107" s="15"/>
      <c r="V107" s="15"/>
      <c r="W107" s="15"/>
      <c r="X107" s="15"/>
      <c r="Y107" s="15"/>
      <c r="Z107" s="15"/>
    </row>
    <row r="108" spans="1:26" ht="103.5" customHeight="1">
      <c r="A108" s="134">
        <v>2</v>
      </c>
      <c r="B108" s="134" t="s">
        <v>398</v>
      </c>
      <c r="C108" s="134">
        <v>25</v>
      </c>
      <c r="D108" s="135" t="s">
        <v>2160</v>
      </c>
      <c r="E108" s="126">
        <v>255</v>
      </c>
      <c r="F108" s="126" t="s">
        <v>2291</v>
      </c>
      <c r="G108" s="137" t="s">
        <v>2292</v>
      </c>
      <c r="H108" s="136" t="s">
        <v>2291</v>
      </c>
      <c r="I108" s="40" t="s">
        <v>2291</v>
      </c>
      <c r="J108" s="126" t="s">
        <v>2365</v>
      </c>
      <c r="K108" s="132"/>
      <c r="L108" s="126" t="s">
        <v>1203</v>
      </c>
      <c r="M108" s="126" t="s">
        <v>1204</v>
      </c>
      <c r="N108" s="129" t="s">
        <v>1205</v>
      </c>
      <c r="O108" s="128" t="s">
        <v>1034</v>
      </c>
      <c r="P108" s="128" t="s">
        <v>1035</v>
      </c>
      <c r="Q108" s="128" t="s">
        <v>2377</v>
      </c>
      <c r="R108" s="128"/>
      <c r="S108" s="131"/>
      <c r="T108" s="15"/>
      <c r="U108" s="15"/>
      <c r="V108" s="15"/>
      <c r="W108" s="15"/>
      <c r="X108" s="15"/>
      <c r="Y108" s="15"/>
      <c r="Z108" s="15"/>
    </row>
    <row r="109" spans="1:26" ht="22.5" customHeight="1">
      <c r="A109" s="127"/>
      <c r="B109" s="127"/>
      <c r="C109" s="127"/>
      <c r="D109" s="127"/>
      <c r="E109" s="127"/>
      <c r="F109" s="127"/>
      <c r="G109" s="127"/>
      <c r="H109" s="127"/>
      <c r="I109" s="52" t="s">
        <v>2378</v>
      </c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5"/>
      <c r="U109" s="15"/>
      <c r="V109" s="15"/>
      <c r="W109" s="15"/>
      <c r="X109" s="15"/>
      <c r="Y109" s="15"/>
      <c r="Z109" s="15"/>
    </row>
    <row r="110" spans="1:26" ht="22.5" customHeight="1">
      <c r="A110" s="134">
        <v>2</v>
      </c>
      <c r="B110" s="134" t="s">
        <v>398</v>
      </c>
      <c r="C110" s="134">
        <v>25</v>
      </c>
      <c r="D110" s="135" t="s">
        <v>2160</v>
      </c>
      <c r="E110" s="126">
        <v>256</v>
      </c>
      <c r="F110" s="126" t="s">
        <v>2386</v>
      </c>
      <c r="G110" s="137" t="s">
        <v>2387</v>
      </c>
      <c r="H110" s="136" t="s">
        <v>2388</v>
      </c>
      <c r="I110" s="129" t="s">
        <v>2394</v>
      </c>
      <c r="J110" s="34" t="s">
        <v>2395</v>
      </c>
      <c r="K110" s="132"/>
      <c r="L110" s="126" t="s">
        <v>2396</v>
      </c>
      <c r="M110" s="126" t="s">
        <v>2397</v>
      </c>
      <c r="N110" s="129" t="s">
        <v>2398</v>
      </c>
      <c r="O110" s="128" t="s">
        <v>1034</v>
      </c>
      <c r="P110" s="128" t="s">
        <v>1035</v>
      </c>
      <c r="Q110" s="128" t="s">
        <v>2400</v>
      </c>
      <c r="R110" s="128" t="s">
        <v>2405</v>
      </c>
      <c r="S110" s="131"/>
      <c r="T110" s="15"/>
      <c r="U110" s="15"/>
      <c r="V110" s="15"/>
      <c r="W110" s="15"/>
      <c r="X110" s="15"/>
      <c r="Y110" s="15"/>
      <c r="Z110" s="15"/>
    </row>
    <row r="111" spans="1:26" ht="22.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31" t="s">
        <v>2408</v>
      </c>
      <c r="K111" s="127"/>
      <c r="L111" s="127"/>
      <c r="M111" s="127"/>
      <c r="N111" s="127"/>
      <c r="O111" s="127"/>
      <c r="P111" s="127"/>
      <c r="Q111" s="127"/>
      <c r="R111" s="127"/>
      <c r="S111" s="127"/>
      <c r="T111" s="15"/>
      <c r="U111" s="15"/>
      <c r="V111" s="15"/>
      <c r="W111" s="15"/>
      <c r="X111" s="15"/>
      <c r="Y111" s="15"/>
      <c r="Z111" s="15"/>
    </row>
    <row r="112" spans="1:26" ht="22.5" customHeight="1">
      <c r="A112" s="26">
        <v>2</v>
      </c>
      <c r="B112" s="26" t="s">
        <v>398</v>
      </c>
      <c r="C112" s="26">
        <v>25</v>
      </c>
      <c r="D112" s="29" t="s">
        <v>2160</v>
      </c>
      <c r="E112" s="31">
        <v>256</v>
      </c>
      <c r="F112" s="31" t="s">
        <v>2386</v>
      </c>
      <c r="G112" s="32" t="s">
        <v>2387</v>
      </c>
      <c r="H112" s="90" t="s">
        <v>2431</v>
      </c>
      <c r="I112" s="32" t="s">
        <v>2431</v>
      </c>
      <c r="J112" s="31" t="s">
        <v>2093</v>
      </c>
      <c r="K112" s="36"/>
      <c r="L112" s="31" t="s">
        <v>2094</v>
      </c>
      <c r="M112" s="31" t="s">
        <v>2095</v>
      </c>
      <c r="N112" s="52" t="s">
        <v>2096</v>
      </c>
      <c r="O112" s="42" t="s">
        <v>1034</v>
      </c>
      <c r="P112" s="42" t="s">
        <v>1035</v>
      </c>
      <c r="Q112" s="42" t="s">
        <v>2098</v>
      </c>
      <c r="R112" s="42"/>
      <c r="S112" s="44"/>
      <c r="T112" s="15"/>
      <c r="U112" s="15"/>
      <c r="V112" s="15"/>
      <c r="W112" s="15"/>
      <c r="X112" s="15"/>
      <c r="Y112" s="15"/>
      <c r="Z112" s="15"/>
    </row>
    <row r="113" spans="1:26" ht="22.5" customHeight="1">
      <c r="A113" s="134">
        <v>2</v>
      </c>
      <c r="B113" s="134" t="s">
        <v>398</v>
      </c>
      <c r="C113" s="134">
        <v>25</v>
      </c>
      <c r="D113" s="135" t="s">
        <v>2160</v>
      </c>
      <c r="E113" s="126">
        <v>257</v>
      </c>
      <c r="F113" s="126" t="s">
        <v>2439</v>
      </c>
      <c r="G113" s="137" t="s">
        <v>2440</v>
      </c>
      <c r="H113" s="136" t="s">
        <v>2441</v>
      </c>
      <c r="I113" s="40" t="s">
        <v>2441</v>
      </c>
      <c r="J113" s="126" t="s">
        <v>2444</v>
      </c>
      <c r="K113" s="132"/>
      <c r="L113" s="126" t="s">
        <v>2396</v>
      </c>
      <c r="M113" s="126" t="s">
        <v>2397</v>
      </c>
      <c r="N113" s="129" t="s">
        <v>2398</v>
      </c>
      <c r="O113" s="128" t="s">
        <v>1034</v>
      </c>
      <c r="P113" s="128" t="s">
        <v>1035</v>
      </c>
      <c r="Q113" s="128" t="s">
        <v>2400</v>
      </c>
      <c r="R113" s="128" t="s">
        <v>2405</v>
      </c>
      <c r="S113" s="131"/>
      <c r="T113" s="15"/>
      <c r="U113" s="15"/>
      <c r="V113" s="15"/>
      <c r="W113" s="15"/>
      <c r="X113" s="15"/>
      <c r="Y113" s="15"/>
      <c r="Z113" s="15"/>
    </row>
    <row r="114" spans="1:26" ht="22.5" customHeight="1">
      <c r="A114" s="127"/>
      <c r="B114" s="127"/>
      <c r="C114" s="127"/>
      <c r="D114" s="127"/>
      <c r="E114" s="127"/>
      <c r="F114" s="127"/>
      <c r="G114" s="127"/>
      <c r="H114" s="127"/>
      <c r="I114" s="40" t="s">
        <v>2457</v>
      </c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5"/>
      <c r="U114" s="15"/>
      <c r="V114" s="15"/>
      <c r="W114" s="15"/>
      <c r="X114" s="15"/>
      <c r="Y114" s="15"/>
      <c r="Z114" s="15"/>
    </row>
    <row r="115" spans="1:26" ht="22.5" customHeight="1">
      <c r="A115" s="134">
        <v>2</v>
      </c>
      <c r="B115" s="134" t="s">
        <v>398</v>
      </c>
      <c r="C115" s="134">
        <v>25</v>
      </c>
      <c r="D115" s="135" t="s">
        <v>2160</v>
      </c>
      <c r="E115" s="126">
        <v>257</v>
      </c>
      <c r="F115" s="126" t="s">
        <v>2461</v>
      </c>
      <c r="G115" s="137" t="s">
        <v>2440</v>
      </c>
      <c r="H115" s="136" t="s">
        <v>2469</v>
      </c>
      <c r="I115" s="40" t="s">
        <v>2441</v>
      </c>
      <c r="J115" s="126" t="s">
        <v>2444</v>
      </c>
      <c r="K115" s="132"/>
      <c r="L115" s="126" t="s">
        <v>2396</v>
      </c>
      <c r="M115" s="126" t="s">
        <v>2397</v>
      </c>
      <c r="N115" s="129" t="s">
        <v>2398</v>
      </c>
      <c r="O115" s="128" t="s">
        <v>1034</v>
      </c>
      <c r="P115" s="128" t="s">
        <v>1035</v>
      </c>
      <c r="Q115" s="128" t="s">
        <v>2400</v>
      </c>
      <c r="R115" s="128"/>
      <c r="S115" s="131"/>
      <c r="T115" s="15"/>
      <c r="U115" s="15"/>
      <c r="V115" s="15"/>
      <c r="W115" s="15"/>
      <c r="X115" s="15"/>
      <c r="Y115" s="15"/>
      <c r="Z115" s="15"/>
    </row>
    <row r="116" spans="1:26" ht="22.5" customHeight="1">
      <c r="A116" s="127"/>
      <c r="B116" s="127"/>
      <c r="C116" s="127"/>
      <c r="D116" s="127"/>
      <c r="E116" s="127"/>
      <c r="F116" s="127"/>
      <c r="G116" s="127"/>
      <c r="H116" s="127"/>
      <c r="I116" s="40" t="s">
        <v>2457</v>
      </c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5"/>
      <c r="U116" s="15"/>
      <c r="V116" s="15"/>
      <c r="W116" s="15"/>
      <c r="X116" s="15"/>
      <c r="Y116" s="15"/>
      <c r="Z116" s="15"/>
    </row>
    <row r="117" spans="1:26" ht="22.5" customHeight="1">
      <c r="A117" s="26">
        <v>2</v>
      </c>
      <c r="B117" s="26" t="s">
        <v>398</v>
      </c>
      <c r="C117" s="26">
        <v>25</v>
      </c>
      <c r="D117" s="29" t="s">
        <v>2160</v>
      </c>
      <c r="E117" s="31">
        <v>258</v>
      </c>
      <c r="F117" s="31" t="s">
        <v>1021</v>
      </c>
      <c r="G117" s="56" t="s">
        <v>2492</v>
      </c>
      <c r="H117" s="59" t="s">
        <v>2494</v>
      </c>
      <c r="I117" s="40" t="s">
        <v>2494</v>
      </c>
      <c r="J117" s="34" t="s">
        <v>2498</v>
      </c>
      <c r="K117" s="36"/>
      <c r="L117" s="31" t="s">
        <v>1027</v>
      </c>
      <c r="M117" s="31" t="s">
        <v>1032</v>
      </c>
      <c r="N117" s="52" t="s">
        <v>1033</v>
      </c>
      <c r="O117" s="42" t="s">
        <v>1034</v>
      </c>
      <c r="P117" s="42" t="s">
        <v>1035</v>
      </c>
      <c r="Q117" s="42" t="s">
        <v>1037</v>
      </c>
      <c r="R117" s="42"/>
      <c r="S117" s="44"/>
      <c r="T117" s="15"/>
      <c r="U117" s="15"/>
      <c r="V117" s="15"/>
      <c r="W117" s="15"/>
      <c r="X117" s="15"/>
      <c r="Y117" s="15"/>
      <c r="Z117" s="15"/>
    </row>
    <row r="118" spans="1:26" ht="22.5" customHeight="1">
      <c r="A118" s="26">
        <v>2</v>
      </c>
      <c r="B118" s="26" t="s">
        <v>398</v>
      </c>
      <c r="C118" s="26">
        <v>25</v>
      </c>
      <c r="D118" s="29" t="s">
        <v>2160</v>
      </c>
      <c r="E118" s="31">
        <v>258</v>
      </c>
      <c r="F118" s="31" t="s">
        <v>1021</v>
      </c>
      <c r="G118" s="56" t="s">
        <v>2492</v>
      </c>
      <c r="H118" s="50" t="s">
        <v>2504</v>
      </c>
      <c r="I118" s="52" t="s">
        <v>2505</v>
      </c>
      <c r="J118" s="31" t="s">
        <v>2506</v>
      </c>
      <c r="K118" s="36"/>
      <c r="L118" s="31" t="s">
        <v>2507</v>
      </c>
      <c r="M118" s="31" t="s">
        <v>2508</v>
      </c>
      <c r="N118" s="52" t="s">
        <v>2509</v>
      </c>
      <c r="O118" s="42" t="s">
        <v>1034</v>
      </c>
      <c r="P118" s="42" t="s">
        <v>1035</v>
      </c>
      <c r="Q118" s="42" t="s">
        <v>2510</v>
      </c>
      <c r="R118" s="42"/>
      <c r="S118" s="44"/>
      <c r="T118" s="15"/>
      <c r="U118" s="15"/>
      <c r="V118" s="15"/>
      <c r="W118" s="15"/>
      <c r="X118" s="15"/>
      <c r="Y118" s="15"/>
      <c r="Z118" s="15"/>
    </row>
    <row r="119" spans="1:26" ht="22.5" customHeight="1">
      <c r="A119" s="26">
        <v>2</v>
      </c>
      <c r="B119" s="26" t="s">
        <v>398</v>
      </c>
      <c r="C119" s="26">
        <v>25</v>
      </c>
      <c r="D119" s="29" t="s">
        <v>2160</v>
      </c>
      <c r="E119" s="31">
        <v>258</v>
      </c>
      <c r="F119" s="31" t="s">
        <v>1021</v>
      </c>
      <c r="G119" s="56" t="s">
        <v>2492</v>
      </c>
      <c r="H119" s="50" t="s">
        <v>2533</v>
      </c>
      <c r="I119" s="52" t="s">
        <v>2534</v>
      </c>
      <c r="J119" s="34" t="s">
        <v>2535</v>
      </c>
      <c r="K119" s="36"/>
      <c r="L119" s="31" t="s">
        <v>2536</v>
      </c>
      <c r="M119" s="31" t="s">
        <v>2537</v>
      </c>
      <c r="N119" s="52" t="s">
        <v>2538</v>
      </c>
      <c r="O119" s="42" t="s">
        <v>1034</v>
      </c>
      <c r="P119" s="42"/>
      <c r="Q119" s="42"/>
      <c r="R119" s="42"/>
      <c r="S119" s="44"/>
      <c r="T119" s="15"/>
      <c r="U119" s="15"/>
      <c r="V119" s="15"/>
      <c r="W119" s="15"/>
      <c r="X119" s="15"/>
      <c r="Y119" s="15"/>
      <c r="Z119" s="15"/>
    </row>
    <row r="120" spans="1:26" ht="22.5" customHeight="1">
      <c r="A120" s="26">
        <v>2</v>
      </c>
      <c r="B120" s="26" t="s">
        <v>398</v>
      </c>
      <c r="C120" s="26">
        <v>26</v>
      </c>
      <c r="D120" s="29" t="s">
        <v>2542</v>
      </c>
      <c r="E120" s="31">
        <v>261</v>
      </c>
      <c r="F120" s="31" t="s">
        <v>2543</v>
      </c>
      <c r="G120" s="56" t="s">
        <v>2544</v>
      </c>
      <c r="H120" s="102" t="s">
        <v>2545</v>
      </c>
      <c r="I120" s="56" t="s">
        <v>2551</v>
      </c>
      <c r="J120" s="31" t="s">
        <v>2552</v>
      </c>
      <c r="K120" s="34" t="s">
        <v>2554</v>
      </c>
      <c r="L120" s="31"/>
      <c r="M120" s="31"/>
      <c r="N120" s="40"/>
      <c r="O120" s="42" t="s">
        <v>2556</v>
      </c>
      <c r="P120" s="31"/>
      <c r="Q120" s="70"/>
      <c r="R120" s="42"/>
      <c r="S120" s="44"/>
      <c r="T120" s="15"/>
      <c r="U120" s="15"/>
      <c r="V120" s="15"/>
      <c r="W120" s="15"/>
      <c r="X120" s="15"/>
      <c r="Y120" s="15"/>
      <c r="Z120" s="15"/>
    </row>
    <row r="121" spans="1:26" ht="22.5" customHeight="1">
      <c r="A121" s="26">
        <v>2</v>
      </c>
      <c r="B121" s="26" t="s">
        <v>398</v>
      </c>
      <c r="C121" s="26">
        <v>26</v>
      </c>
      <c r="D121" s="29" t="s">
        <v>2542</v>
      </c>
      <c r="E121" s="31">
        <v>261</v>
      </c>
      <c r="F121" s="31" t="s">
        <v>2543</v>
      </c>
      <c r="G121" s="56" t="s">
        <v>2544</v>
      </c>
      <c r="H121" s="102" t="s">
        <v>2573</v>
      </c>
      <c r="I121" s="56" t="s">
        <v>2574</v>
      </c>
      <c r="J121" s="31" t="s">
        <v>2552</v>
      </c>
      <c r="K121" s="34" t="s">
        <v>2577</v>
      </c>
      <c r="L121" s="31"/>
      <c r="M121" s="31"/>
      <c r="N121" s="40"/>
      <c r="O121" s="70" t="s">
        <v>928</v>
      </c>
      <c r="P121" s="42" t="s">
        <v>973</v>
      </c>
      <c r="Q121" s="70" t="s">
        <v>2578</v>
      </c>
      <c r="R121" s="42"/>
      <c r="S121" s="44"/>
      <c r="T121" s="15"/>
      <c r="U121" s="15"/>
      <c r="V121" s="15"/>
      <c r="W121" s="15"/>
      <c r="X121" s="15"/>
      <c r="Y121" s="15"/>
      <c r="Z121" s="15"/>
    </row>
    <row r="122" spans="1:26" ht="22.5" customHeight="1">
      <c r="A122" s="26">
        <v>2</v>
      </c>
      <c r="B122" s="26" t="s">
        <v>398</v>
      </c>
      <c r="C122" s="26">
        <v>26</v>
      </c>
      <c r="D122" s="29" t="s">
        <v>2542</v>
      </c>
      <c r="E122" s="31">
        <v>262</v>
      </c>
      <c r="F122" s="31" t="s">
        <v>2579</v>
      </c>
      <c r="G122" s="56" t="s">
        <v>2580</v>
      </c>
      <c r="H122" s="50" t="s">
        <v>2579</v>
      </c>
      <c r="I122" s="40" t="s">
        <v>2579</v>
      </c>
      <c r="J122" s="31" t="s">
        <v>2582</v>
      </c>
      <c r="K122" s="36"/>
      <c r="L122" s="31" t="s">
        <v>1203</v>
      </c>
      <c r="M122" s="31" t="s">
        <v>1204</v>
      </c>
      <c r="N122" s="52" t="s">
        <v>1205</v>
      </c>
      <c r="O122" s="42" t="s">
        <v>1034</v>
      </c>
      <c r="P122" s="42" t="s">
        <v>1035</v>
      </c>
      <c r="Q122" s="42" t="s">
        <v>2586</v>
      </c>
      <c r="R122" s="31"/>
      <c r="S122" s="44"/>
      <c r="T122" s="15"/>
      <c r="U122" s="15"/>
      <c r="V122" s="15"/>
      <c r="W122" s="15"/>
      <c r="X122" s="15"/>
      <c r="Y122" s="15"/>
      <c r="Z122" s="15"/>
    </row>
    <row r="123" spans="1:26" ht="22.5" customHeight="1">
      <c r="A123" s="26">
        <v>2</v>
      </c>
      <c r="B123" s="26" t="s">
        <v>398</v>
      </c>
      <c r="C123" s="26">
        <v>26</v>
      </c>
      <c r="D123" s="29" t="s">
        <v>2542</v>
      </c>
      <c r="E123" s="31">
        <v>263</v>
      </c>
      <c r="F123" s="34" t="s">
        <v>2599</v>
      </c>
      <c r="G123" s="56" t="s">
        <v>2600</v>
      </c>
      <c r="H123" s="50" t="s">
        <v>2601</v>
      </c>
      <c r="I123" s="40" t="s">
        <v>2601</v>
      </c>
      <c r="J123" s="34" t="s">
        <v>2602</v>
      </c>
      <c r="K123" s="36"/>
      <c r="L123" s="31" t="s">
        <v>1504</v>
      </c>
      <c r="M123" s="31" t="s">
        <v>1505</v>
      </c>
      <c r="N123" s="40" t="s">
        <v>1506</v>
      </c>
      <c r="O123" s="42" t="s">
        <v>2556</v>
      </c>
      <c r="P123" s="72"/>
      <c r="Q123" s="70"/>
      <c r="R123" s="31"/>
      <c r="S123" s="44"/>
      <c r="T123" s="15"/>
      <c r="U123" s="15"/>
      <c r="V123" s="15"/>
      <c r="W123" s="15"/>
      <c r="X123" s="15"/>
      <c r="Y123" s="15"/>
      <c r="Z123" s="15"/>
    </row>
    <row r="124" spans="1:26" ht="22.5" customHeight="1">
      <c r="A124" s="134">
        <v>2</v>
      </c>
      <c r="B124" s="134" t="s">
        <v>398</v>
      </c>
      <c r="C124" s="134">
        <v>26</v>
      </c>
      <c r="D124" s="135" t="s">
        <v>2542</v>
      </c>
      <c r="E124" s="126">
        <v>263</v>
      </c>
      <c r="F124" s="126" t="s">
        <v>2599</v>
      </c>
      <c r="G124" s="137" t="s">
        <v>2600</v>
      </c>
      <c r="H124" s="136" t="s">
        <v>2607</v>
      </c>
      <c r="I124" s="129" t="s">
        <v>2607</v>
      </c>
      <c r="J124" s="31" t="s">
        <v>2612</v>
      </c>
      <c r="K124" s="132"/>
      <c r="L124" s="126" t="s">
        <v>1504</v>
      </c>
      <c r="M124" s="126" t="s">
        <v>1505</v>
      </c>
      <c r="N124" s="129" t="s">
        <v>1506</v>
      </c>
      <c r="O124" s="128" t="s">
        <v>1690</v>
      </c>
      <c r="P124" s="128" t="s">
        <v>2617</v>
      </c>
      <c r="Q124" s="130" t="s">
        <v>2618</v>
      </c>
      <c r="R124" s="126"/>
      <c r="S124" s="131"/>
      <c r="T124" s="15"/>
      <c r="U124" s="15"/>
      <c r="V124" s="15"/>
      <c r="W124" s="15"/>
      <c r="X124" s="15"/>
      <c r="Y124" s="15"/>
      <c r="Z124" s="15"/>
    </row>
    <row r="125" spans="1:26" ht="22.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31" t="s">
        <v>2623</v>
      </c>
      <c r="K125" s="127"/>
      <c r="L125" s="127"/>
      <c r="M125" s="127"/>
      <c r="N125" s="127"/>
      <c r="O125" s="127"/>
      <c r="P125" s="127"/>
      <c r="Q125" s="127"/>
      <c r="R125" s="127"/>
      <c r="S125" s="127"/>
      <c r="T125" s="15"/>
      <c r="U125" s="15"/>
      <c r="V125" s="15"/>
      <c r="W125" s="15"/>
      <c r="X125" s="15"/>
      <c r="Y125" s="15"/>
      <c r="Z125" s="15"/>
    </row>
    <row r="126" spans="1:26" ht="22.5" customHeight="1">
      <c r="A126" s="26">
        <v>2</v>
      </c>
      <c r="B126" s="26" t="s">
        <v>398</v>
      </c>
      <c r="C126" s="26">
        <v>26</v>
      </c>
      <c r="D126" s="29" t="s">
        <v>2542</v>
      </c>
      <c r="E126" s="31">
        <v>263</v>
      </c>
      <c r="F126" s="34" t="s">
        <v>2599</v>
      </c>
      <c r="G126" s="56" t="s">
        <v>2600</v>
      </c>
      <c r="H126" s="50" t="s">
        <v>2628</v>
      </c>
      <c r="I126" s="40" t="s">
        <v>2628</v>
      </c>
      <c r="J126" s="34" t="s">
        <v>2629</v>
      </c>
      <c r="K126" s="36"/>
      <c r="L126" s="31" t="s">
        <v>842</v>
      </c>
      <c r="M126" s="31" t="s">
        <v>844</v>
      </c>
      <c r="N126" s="52" t="s">
        <v>2632</v>
      </c>
      <c r="O126" s="42" t="s">
        <v>1543</v>
      </c>
      <c r="P126" s="42" t="s">
        <v>2634</v>
      </c>
      <c r="Q126" s="70" t="s">
        <v>2635</v>
      </c>
      <c r="R126" s="31"/>
      <c r="S126" s="44"/>
      <c r="T126" s="15"/>
      <c r="U126" s="15"/>
      <c r="V126" s="15"/>
      <c r="W126" s="15"/>
      <c r="X126" s="15"/>
      <c r="Y126" s="15"/>
      <c r="Z126" s="15"/>
    </row>
    <row r="127" spans="1:26" ht="22.5" customHeight="1">
      <c r="A127" s="26">
        <v>2</v>
      </c>
      <c r="B127" s="26" t="s">
        <v>398</v>
      </c>
      <c r="C127" s="26">
        <v>26</v>
      </c>
      <c r="D127" s="29" t="s">
        <v>2542</v>
      </c>
      <c r="E127" s="31">
        <v>264</v>
      </c>
      <c r="F127" s="31" t="s">
        <v>2642</v>
      </c>
      <c r="G127" s="56" t="s">
        <v>2643</v>
      </c>
      <c r="H127" s="50" t="s">
        <v>2642</v>
      </c>
      <c r="I127" s="56" t="s">
        <v>2644</v>
      </c>
      <c r="J127" s="31" t="s">
        <v>2646</v>
      </c>
      <c r="K127" s="36"/>
      <c r="L127" s="31" t="s">
        <v>2648</v>
      </c>
      <c r="M127" s="31" t="s">
        <v>2649</v>
      </c>
      <c r="N127" s="40"/>
      <c r="O127" s="42" t="s">
        <v>2556</v>
      </c>
      <c r="P127" s="70"/>
      <c r="Q127" s="70"/>
      <c r="R127" s="42"/>
      <c r="S127" s="44"/>
      <c r="T127" s="15"/>
      <c r="U127" s="15"/>
      <c r="V127" s="15"/>
      <c r="W127" s="15"/>
      <c r="X127" s="15"/>
      <c r="Y127" s="15"/>
      <c r="Z127" s="15"/>
    </row>
    <row r="128" spans="1:26" ht="22.5" customHeight="1">
      <c r="A128" s="26">
        <v>2</v>
      </c>
      <c r="B128" s="26" t="s">
        <v>398</v>
      </c>
      <c r="C128" s="26">
        <v>26</v>
      </c>
      <c r="D128" s="29" t="s">
        <v>2542</v>
      </c>
      <c r="E128" s="31">
        <v>265</v>
      </c>
      <c r="F128" s="34" t="s">
        <v>2652</v>
      </c>
      <c r="G128" s="32" t="s">
        <v>2653</v>
      </c>
      <c r="H128" s="90" t="s">
        <v>2654</v>
      </c>
      <c r="I128" s="56" t="s">
        <v>2655</v>
      </c>
      <c r="J128" s="31" t="s">
        <v>2656</v>
      </c>
      <c r="K128" s="36"/>
      <c r="L128" s="31" t="s">
        <v>1203</v>
      </c>
      <c r="M128" s="31" t="s">
        <v>1204</v>
      </c>
      <c r="N128" s="52" t="s">
        <v>1205</v>
      </c>
      <c r="O128" s="42" t="s">
        <v>800</v>
      </c>
      <c r="P128" s="70"/>
      <c r="Q128" s="70"/>
      <c r="R128" s="42"/>
      <c r="S128" s="44"/>
      <c r="T128" s="15"/>
      <c r="U128" s="15"/>
      <c r="V128" s="15"/>
      <c r="W128" s="15"/>
      <c r="X128" s="15"/>
      <c r="Y128" s="15"/>
      <c r="Z128" s="15"/>
    </row>
    <row r="129" spans="1:26" ht="22.5" customHeight="1">
      <c r="A129" s="26">
        <v>2</v>
      </c>
      <c r="B129" s="26" t="s">
        <v>398</v>
      </c>
      <c r="C129" s="26">
        <v>26</v>
      </c>
      <c r="D129" s="29" t="s">
        <v>2542</v>
      </c>
      <c r="E129" s="31">
        <v>265</v>
      </c>
      <c r="F129" s="34" t="s">
        <v>2652</v>
      </c>
      <c r="G129" s="32" t="s">
        <v>2653</v>
      </c>
      <c r="H129" s="50" t="s">
        <v>1646</v>
      </c>
      <c r="I129" s="40" t="s">
        <v>1646</v>
      </c>
      <c r="J129" s="31" t="s">
        <v>2660</v>
      </c>
      <c r="K129" s="36"/>
      <c r="L129" s="31" t="s">
        <v>2661</v>
      </c>
      <c r="M129" s="31" t="s">
        <v>2662</v>
      </c>
      <c r="N129" s="52" t="s">
        <v>2663</v>
      </c>
      <c r="O129" s="31" t="s">
        <v>809</v>
      </c>
      <c r="P129" s="70"/>
      <c r="Q129" s="70"/>
      <c r="R129" s="42"/>
      <c r="S129" s="44"/>
      <c r="T129" s="15"/>
      <c r="U129" s="15"/>
      <c r="V129" s="15"/>
      <c r="W129" s="15"/>
      <c r="X129" s="15"/>
      <c r="Y129" s="15"/>
      <c r="Z129" s="15"/>
    </row>
    <row r="130" spans="1:26" ht="22.5" customHeight="1">
      <c r="A130" s="26">
        <v>2</v>
      </c>
      <c r="B130" s="26" t="s">
        <v>398</v>
      </c>
      <c r="C130" s="26">
        <v>26</v>
      </c>
      <c r="D130" s="29" t="s">
        <v>2542</v>
      </c>
      <c r="E130" s="31">
        <v>265</v>
      </c>
      <c r="F130" s="34" t="s">
        <v>2652</v>
      </c>
      <c r="G130" s="32" t="s">
        <v>2653</v>
      </c>
      <c r="H130" s="50" t="s">
        <v>2665</v>
      </c>
      <c r="I130" s="40" t="s">
        <v>2665</v>
      </c>
      <c r="J130" s="31" t="s">
        <v>2667</v>
      </c>
      <c r="K130" s="36"/>
      <c r="L130" s="31" t="s">
        <v>2661</v>
      </c>
      <c r="M130" s="31" t="s">
        <v>2662</v>
      </c>
      <c r="N130" s="52" t="s">
        <v>2663</v>
      </c>
      <c r="O130" s="31" t="s">
        <v>809</v>
      </c>
      <c r="P130" s="70" t="s">
        <v>810</v>
      </c>
      <c r="Q130" s="70" t="s">
        <v>2668</v>
      </c>
      <c r="R130" s="42"/>
      <c r="S130" s="44"/>
      <c r="T130" s="15"/>
      <c r="U130" s="15"/>
      <c r="V130" s="15"/>
      <c r="W130" s="15"/>
      <c r="X130" s="15"/>
      <c r="Y130" s="15"/>
      <c r="Z130" s="15"/>
    </row>
    <row r="131" spans="1:26" ht="22.5" customHeight="1">
      <c r="A131" s="26">
        <v>2</v>
      </c>
      <c r="B131" s="26" t="s">
        <v>398</v>
      </c>
      <c r="C131" s="26">
        <v>26</v>
      </c>
      <c r="D131" s="29" t="s">
        <v>2542</v>
      </c>
      <c r="E131" s="31">
        <v>266</v>
      </c>
      <c r="F131" s="31" t="s">
        <v>2672</v>
      </c>
      <c r="G131" s="32"/>
      <c r="H131" s="59" t="s">
        <v>2674</v>
      </c>
      <c r="I131" s="40" t="s">
        <v>2675</v>
      </c>
      <c r="J131" s="34" t="s">
        <v>2678</v>
      </c>
      <c r="K131" s="36"/>
      <c r="L131" s="31" t="s">
        <v>2396</v>
      </c>
      <c r="M131" s="31" t="s">
        <v>2397</v>
      </c>
      <c r="N131" s="52" t="s">
        <v>2398</v>
      </c>
      <c r="O131" s="42" t="s">
        <v>1034</v>
      </c>
      <c r="P131" s="42" t="s">
        <v>1035</v>
      </c>
      <c r="Q131" s="42" t="s">
        <v>2400</v>
      </c>
      <c r="R131" s="42" t="s">
        <v>2679</v>
      </c>
      <c r="S131" s="44"/>
      <c r="T131" s="15"/>
      <c r="U131" s="15"/>
      <c r="V131" s="15"/>
      <c r="W131" s="15"/>
      <c r="X131" s="15"/>
      <c r="Y131" s="15"/>
      <c r="Z131" s="15"/>
    </row>
    <row r="132" spans="1:26" ht="22.5" customHeight="1">
      <c r="A132" s="26">
        <v>2</v>
      </c>
      <c r="B132" s="26" t="s">
        <v>398</v>
      </c>
      <c r="C132" s="26">
        <v>26</v>
      </c>
      <c r="D132" s="29" t="s">
        <v>2542</v>
      </c>
      <c r="E132" s="31">
        <v>267</v>
      </c>
      <c r="F132" s="31" t="s">
        <v>2681</v>
      </c>
      <c r="G132" s="32" t="s">
        <v>2682</v>
      </c>
      <c r="H132" s="59" t="s">
        <v>2683</v>
      </c>
      <c r="I132" s="52" t="s">
        <v>2683</v>
      </c>
      <c r="J132" s="34" t="s">
        <v>2685</v>
      </c>
      <c r="K132" s="36"/>
      <c r="L132" s="31" t="s">
        <v>2178</v>
      </c>
      <c r="M132" s="31" t="s">
        <v>2182</v>
      </c>
      <c r="N132" s="52" t="s">
        <v>2183</v>
      </c>
      <c r="O132" s="42" t="s">
        <v>2556</v>
      </c>
      <c r="P132" s="70"/>
      <c r="Q132" s="70"/>
      <c r="R132" s="42"/>
      <c r="S132" s="44"/>
      <c r="T132" s="15"/>
      <c r="U132" s="15"/>
      <c r="V132" s="15"/>
      <c r="W132" s="15"/>
      <c r="X132" s="15"/>
      <c r="Y132" s="15"/>
      <c r="Z132" s="15"/>
    </row>
    <row r="133" spans="1:26" ht="22.5" customHeight="1">
      <c r="A133" s="134">
        <v>2</v>
      </c>
      <c r="B133" s="134" t="s">
        <v>398</v>
      </c>
      <c r="C133" s="134">
        <v>26</v>
      </c>
      <c r="D133" s="135" t="s">
        <v>2542</v>
      </c>
      <c r="E133" s="126">
        <v>268</v>
      </c>
      <c r="F133" s="126" t="s">
        <v>1021</v>
      </c>
      <c r="G133" s="137" t="s">
        <v>2694</v>
      </c>
      <c r="H133" s="136" t="s">
        <v>2698</v>
      </c>
      <c r="I133" s="32" t="s">
        <v>2703</v>
      </c>
      <c r="J133" s="126" t="s">
        <v>2698</v>
      </c>
      <c r="K133" s="132"/>
      <c r="L133" s="126" t="s">
        <v>1387</v>
      </c>
      <c r="M133" s="126" t="s">
        <v>865</v>
      </c>
      <c r="N133" s="129" t="s">
        <v>1392</v>
      </c>
      <c r="O133" s="128" t="s">
        <v>800</v>
      </c>
      <c r="P133" s="128" t="s">
        <v>802</v>
      </c>
      <c r="Q133" s="130" t="s">
        <v>2713</v>
      </c>
      <c r="R133" s="128"/>
      <c r="S133" s="131"/>
      <c r="T133" s="15"/>
      <c r="U133" s="15"/>
      <c r="V133" s="15"/>
      <c r="W133" s="15"/>
      <c r="X133" s="15"/>
      <c r="Y133" s="15"/>
      <c r="Z133" s="15"/>
    </row>
    <row r="134" spans="1:26" ht="22.5" customHeight="1">
      <c r="A134" s="127"/>
      <c r="B134" s="127"/>
      <c r="C134" s="127"/>
      <c r="D134" s="127"/>
      <c r="E134" s="127"/>
      <c r="F134" s="127"/>
      <c r="G134" s="127"/>
      <c r="H134" s="127"/>
      <c r="I134" s="32" t="s">
        <v>2716</v>
      </c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5"/>
      <c r="U134" s="15"/>
      <c r="V134" s="15"/>
      <c r="W134" s="15"/>
      <c r="X134" s="15"/>
      <c r="Y134" s="15"/>
      <c r="Z134" s="15"/>
    </row>
    <row r="135" spans="1:26" ht="22.5" customHeight="1">
      <c r="A135" s="26">
        <v>2</v>
      </c>
      <c r="B135" s="26" t="s">
        <v>398</v>
      </c>
      <c r="C135" s="26">
        <v>26</v>
      </c>
      <c r="D135" s="29" t="s">
        <v>2542</v>
      </c>
      <c r="E135" s="31">
        <v>268</v>
      </c>
      <c r="F135" s="31" t="s">
        <v>1021</v>
      </c>
      <c r="G135" s="56" t="s">
        <v>2694</v>
      </c>
      <c r="H135" s="50" t="s">
        <v>2719</v>
      </c>
      <c r="I135" s="40" t="s">
        <v>2720</v>
      </c>
      <c r="J135" s="31" t="s">
        <v>2721</v>
      </c>
      <c r="K135" s="36"/>
      <c r="L135" s="31" t="s">
        <v>2094</v>
      </c>
      <c r="M135" s="31" t="s">
        <v>2095</v>
      </c>
      <c r="N135" s="52" t="s">
        <v>2096</v>
      </c>
      <c r="O135" s="42" t="s">
        <v>1034</v>
      </c>
      <c r="P135" s="70"/>
      <c r="Q135" s="70"/>
      <c r="R135" s="42"/>
      <c r="S135" s="44"/>
      <c r="T135" s="15"/>
      <c r="U135" s="15"/>
      <c r="V135" s="15"/>
      <c r="W135" s="15"/>
      <c r="X135" s="15"/>
      <c r="Y135" s="15"/>
      <c r="Z135" s="15"/>
    </row>
    <row r="136" spans="1:26" ht="22.5" customHeight="1">
      <c r="A136" s="26">
        <v>2</v>
      </c>
      <c r="B136" s="26" t="s">
        <v>398</v>
      </c>
      <c r="C136" s="26">
        <v>27</v>
      </c>
      <c r="D136" s="29" t="s">
        <v>2723</v>
      </c>
      <c r="E136" s="31">
        <v>271</v>
      </c>
      <c r="F136" s="31" t="s">
        <v>2725</v>
      </c>
      <c r="G136" s="32" t="s">
        <v>2726</v>
      </c>
      <c r="H136" s="59" t="s">
        <v>2727</v>
      </c>
      <c r="I136" s="52" t="s">
        <v>2728</v>
      </c>
      <c r="J136" s="34" t="s">
        <v>2729</v>
      </c>
      <c r="K136" s="36"/>
      <c r="L136" s="31" t="s">
        <v>2730</v>
      </c>
      <c r="M136" s="31" t="s">
        <v>2731</v>
      </c>
      <c r="N136" s="52" t="s">
        <v>2743</v>
      </c>
      <c r="O136" s="31" t="s">
        <v>2744</v>
      </c>
      <c r="P136" s="70"/>
      <c r="Q136" s="70"/>
      <c r="R136" s="42"/>
      <c r="S136" s="53"/>
      <c r="T136" s="15"/>
      <c r="U136" s="15"/>
      <c r="V136" s="15"/>
      <c r="W136" s="15"/>
      <c r="X136" s="15"/>
      <c r="Y136" s="15"/>
      <c r="Z136" s="15"/>
    </row>
    <row r="137" spans="1:26" ht="22.5" customHeight="1">
      <c r="A137" s="26">
        <v>2</v>
      </c>
      <c r="B137" s="26" t="s">
        <v>398</v>
      </c>
      <c r="C137" s="26">
        <v>27</v>
      </c>
      <c r="D137" s="29" t="s">
        <v>2723</v>
      </c>
      <c r="E137" s="31">
        <v>272</v>
      </c>
      <c r="F137" s="31" t="s">
        <v>2749</v>
      </c>
      <c r="G137" s="56" t="s">
        <v>2750</v>
      </c>
      <c r="H137" s="59" t="s">
        <v>2751</v>
      </c>
      <c r="I137" s="52" t="s">
        <v>2752</v>
      </c>
      <c r="J137" s="34" t="s">
        <v>2753</v>
      </c>
      <c r="K137" s="36"/>
      <c r="L137" s="31" t="s">
        <v>2730</v>
      </c>
      <c r="M137" s="31" t="s">
        <v>2731</v>
      </c>
      <c r="N137" s="52" t="s">
        <v>2743</v>
      </c>
      <c r="O137" s="31" t="s">
        <v>2744</v>
      </c>
      <c r="P137" s="70"/>
      <c r="Q137" s="70"/>
      <c r="R137" s="42"/>
      <c r="S137" s="53"/>
      <c r="T137" s="15"/>
      <c r="U137" s="15"/>
      <c r="V137" s="15"/>
      <c r="W137" s="15"/>
      <c r="X137" s="15"/>
      <c r="Y137" s="15"/>
      <c r="Z137" s="15"/>
    </row>
    <row r="138" spans="1:26" ht="22.5" customHeight="1">
      <c r="A138" s="26">
        <v>2</v>
      </c>
      <c r="B138" s="26" t="s">
        <v>398</v>
      </c>
      <c r="C138" s="26">
        <v>27</v>
      </c>
      <c r="D138" s="29" t="s">
        <v>2723</v>
      </c>
      <c r="E138" s="31">
        <v>273</v>
      </c>
      <c r="F138" s="31" t="s">
        <v>2761</v>
      </c>
      <c r="G138" s="56" t="s">
        <v>2762</v>
      </c>
      <c r="H138" s="50" t="s">
        <v>2764</v>
      </c>
      <c r="I138" s="40"/>
      <c r="J138" s="31" t="s">
        <v>2766</v>
      </c>
      <c r="K138" s="36"/>
      <c r="L138" s="31" t="s">
        <v>2767</v>
      </c>
      <c r="M138" s="31" t="s">
        <v>2768</v>
      </c>
      <c r="N138" s="52" t="s">
        <v>2769</v>
      </c>
      <c r="O138" s="31" t="s">
        <v>2770</v>
      </c>
      <c r="P138" s="31" t="s">
        <v>2771</v>
      </c>
      <c r="Q138" s="70" t="s">
        <v>2772</v>
      </c>
      <c r="R138" s="38"/>
      <c r="S138" s="53"/>
      <c r="T138" s="15"/>
      <c r="U138" s="15"/>
      <c r="V138" s="15"/>
      <c r="W138" s="15"/>
      <c r="X138" s="15"/>
      <c r="Y138" s="15"/>
      <c r="Z138" s="15"/>
    </row>
    <row r="139" spans="1:26" ht="22.5" customHeight="1">
      <c r="A139" s="26">
        <v>2</v>
      </c>
      <c r="B139" s="26" t="s">
        <v>398</v>
      </c>
      <c r="C139" s="26">
        <v>27</v>
      </c>
      <c r="D139" s="29" t="s">
        <v>2723</v>
      </c>
      <c r="E139" s="31">
        <v>273</v>
      </c>
      <c r="F139" s="31" t="s">
        <v>2761</v>
      </c>
      <c r="G139" s="56" t="s">
        <v>2762</v>
      </c>
      <c r="H139" s="59" t="s">
        <v>2776</v>
      </c>
      <c r="I139" s="52" t="s">
        <v>2776</v>
      </c>
      <c r="J139" s="34" t="s">
        <v>2777</v>
      </c>
      <c r="K139" s="36"/>
      <c r="L139" s="31" t="s">
        <v>2778</v>
      </c>
      <c r="M139" s="31" t="s">
        <v>2779</v>
      </c>
      <c r="N139" s="52" t="s">
        <v>2780</v>
      </c>
      <c r="O139" s="31" t="s">
        <v>2783</v>
      </c>
      <c r="P139" s="70"/>
      <c r="Q139" s="70"/>
      <c r="R139" s="42"/>
      <c r="S139" s="53"/>
      <c r="T139" s="15"/>
      <c r="U139" s="15"/>
      <c r="V139" s="15"/>
      <c r="W139" s="15"/>
      <c r="X139" s="15"/>
      <c r="Y139" s="15"/>
      <c r="Z139" s="15"/>
    </row>
    <row r="140" spans="1:26" ht="22.5" customHeight="1">
      <c r="A140" s="26">
        <v>2</v>
      </c>
      <c r="B140" s="26" t="s">
        <v>398</v>
      </c>
      <c r="C140" s="26">
        <v>27</v>
      </c>
      <c r="D140" s="29" t="s">
        <v>2723</v>
      </c>
      <c r="E140" s="31">
        <v>273</v>
      </c>
      <c r="F140" s="31" t="s">
        <v>2761</v>
      </c>
      <c r="G140" s="56" t="s">
        <v>2762</v>
      </c>
      <c r="H140" s="50" t="s">
        <v>2785</v>
      </c>
      <c r="I140" s="40"/>
      <c r="J140" s="31" t="s">
        <v>2786</v>
      </c>
      <c r="K140" s="36"/>
      <c r="L140" s="31" t="s">
        <v>2787</v>
      </c>
      <c r="M140" s="31" t="s">
        <v>2788</v>
      </c>
      <c r="N140" s="40" t="s">
        <v>2788</v>
      </c>
      <c r="O140" s="31" t="s">
        <v>2770</v>
      </c>
      <c r="P140" s="31" t="s">
        <v>2771</v>
      </c>
      <c r="Q140" s="70" t="s">
        <v>2789</v>
      </c>
      <c r="R140" s="42"/>
      <c r="S140" s="105"/>
      <c r="T140" s="15"/>
      <c r="U140" s="15"/>
      <c r="V140" s="15"/>
      <c r="W140" s="15"/>
      <c r="X140" s="15"/>
      <c r="Y140" s="15"/>
      <c r="Z140" s="15"/>
    </row>
    <row r="141" spans="1:26" ht="22.5" customHeight="1">
      <c r="A141" s="26">
        <v>2</v>
      </c>
      <c r="B141" s="26" t="s">
        <v>398</v>
      </c>
      <c r="C141" s="26">
        <v>27</v>
      </c>
      <c r="D141" s="29" t="s">
        <v>2723</v>
      </c>
      <c r="E141" s="31">
        <v>273</v>
      </c>
      <c r="F141" s="31" t="s">
        <v>2761</v>
      </c>
      <c r="G141" s="56" t="s">
        <v>2762</v>
      </c>
      <c r="H141" s="50" t="s">
        <v>2796</v>
      </c>
      <c r="I141" s="40"/>
      <c r="J141" s="34" t="s">
        <v>2799</v>
      </c>
      <c r="K141" s="36"/>
      <c r="L141" s="31" t="s">
        <v>2800</v>
      </c>
      <c r="M141" s="31" t="s">
        <v>2801</v>
      </c>
      <c r="N141" s="52" t="s">
        <v>2802</v>
      </c>
      <c r="O141" s="31" t="s">
        <v>2770</v>
      </c>
      <c r="P141" s="31" t="s">
        <v>2771</v>
      </c>
      <c r="Q141" s="70" t="s">
        <v>2811</v>
      </c>
      <c r="R141" s="70" t="s">
        <v>2812</v>
      </c>
      <c r="S141" s="105"/>
      <c r="T141" s="15"/>
      <c r="U141" s="15"/>
      <c r="V141" s="15"/>
      <c r="W141" s="15"/>
      <c r="X141" s="15"/>
      <c r="Y141" s="15"/>
      <c r="Z141" s="15"/>
    </row>
    <row r="142" spans="1:26" ht="22.5" customHeight="1">
      <c r="A142" s="26">
        <v>2</v>
      </c>
      <c r="B142" s="26" t="s">
        <v>398</v>
      </c>
      <c r="C142" s="26">
        <v>27</v>
      </c>
      <c r="D142" s="29" t="s">
        <v>2723</v>
      </c>
      <c r="E142" s="31">
        <v>273</v>
      </c>
      <c r="F142" s="31" t="s">
        <v>2761</v>
      </c>
      <c r="G142" s="56" t="s">
        <v>2762</v>
      </c>
      <c r="H142" s="50" t="s">
        <v>2813</v>
      </c>
      <c r="I142" s="40"/>
      <c r="J142" s="31" t="s">
        <v>2814</v>
      </c>
      <c r="K142" s="36"/>
      <c r="L142" s="31" t="s">
        <v>2816</v>
      </c>
      <c r="M142" s="31" t="s">
        <v>2818</v>
      </c>
      <c r="N142" s="52" t="s">
        <v>2819</v>
      </c>
      <c r="O142" s="31" t="s">
        <v>2770</v>
      </c>
      <c r="P142" s="31" t="s">
        <v>2771</v>
      </c>
      <c r="Q142" s="70" t="s">
        <v>2821</v>
      </c>
      <c r="R142" s="70" t="s">
        <v>2822</v>
      </c>
      <c r="S142" s="105"/>
      <c r="T142" s="15"/>
      <c r="U142" s="15"/>
      <c r="V142" s="15"/>
      <c r="W142" s="15"/>
      <c r="X142" s="15"/>
      <c r="Y142" s="15"/>
      <c r="Z142" s="15"/>
    </row>
    <row r="143" spans="1:26" ht="22.5" customHeight="1">
      <c r="A143" s="26">
        <v>2</v>
      </c>
      <c r="B143" s="26" t="s">
        <v>398</v>
      </c>
      <c r="C143" s="26">
        <v>27</v>
      </c>
      <c r="D143" s="29" t="s">
        <v>2723</v>
      </c>
      <c r="E143" s="31">
        <v>274</v>
      </c>
      <c r="F143" s="31" t="s">
        <v>2824</v>
      </c>
      <c r="G143" s="56" t="s">
        <v>2825</v>
      </c>
      <c r="H143" s="50" t="s">
        <v>1666</v>
      </c>
      <c r="I143" s="40"/>
      <c r="J143" s="31" t="s">
        <v>2827</v>
      </c>
      <c r="K143" s="36"/>
      <c r="L143" s="42" t="s">
        <v>1678</v>
      </c>
      <c r="M143" s="38" t="s">
        <v>1679</v>
      </c>
      <c r="N143" s="40"/>
      <c r="O143" s="31" t="s">
        <v>1680</v>
      </c>
      <c r="P143" s="31" t="s">
        <v>1681</v>
      </c>
      <c r="Q143" s="70" t="s">
        <v>1682</v>
      </c>
      <c r="R143" s="70" t="s">
        <v>1683</v>
      </c>
      <c r="S143" s="44"/>
      <c r="T143" s="15"/>
      <c r="U143" s="15"/>
      <c r="V143" s="15"/>
      <c r="W143" s="15"/>
      <c r="X143" s="15"/>
      <c r="Y143" s="15"/>
      <c r="Z143" s="15"/>
    </row>
    <row r="144" spans="1:26" ht="22.5" customHeight="1">
      <c r="A144" s="26">
        <v>2</v>
      </c>
      <c r="B144" s="26" t="s">
        <v>398</v>
      </c>
      <c r="C144" s="26">
        <v>27</v>
      </c>
      <c r="D144" s="29" t="s">
        <v>2723</v>
      </c>
      <c r="E144" s="31">
        <v>274</v>
      </c>
      <c r="F144" s="31" t="s">
        <v>2824</v>
      </c>
      <c r="G144" s="56" t="s">
        <v>2825</v>
      </c>
      <c r="H144" s="50" t="s">
        <v>2832</v>
      </c>
      <c r="I144" s="52" t="s">
        <v>2834</v>
      </c>
      <c r="J144" s="31"/>
      <c r="K144" s="36"/>
      <c r="L144" s="31" t="s">
        <v>2778</v>
      </c>
      <c r="M144" s="31" t="s">
        <v>2779</v>
      </c>
      <c r="N144" s="52" t="s">
        <v>2780</v>
      </c>
      <c r="O144" s="31" t="s">
        <v>2783</v>
      </c>
      <c r="P144" s="70"/>
      <c r="Q144" s="70"/>
      <c r="R144" s="42"/>
      <c r="S144" s="53"/>
      <c r="T144" s="15"/>
      <c r="U144" s="15"/>
      <c r="V144" s="15"/>
      <c r="W144" s="15"/>
      <c r="X144" s="15"/>
      <c r="Y144" s="15"/>
      <c r="Z144" s="15"/>
    </row>
    <row r="145" spans="1:26" ht="22.5" customHeight="1">
      <c r="A145" s="26">
        <v>2</v>
      </c>
      <c r="B145" s="26" t="s">
        <v>398</v>
      </c>
      <c r="C145" s="26">
        <v>27</v>
      </c>
      <c r="D145" s="29" t="s">
        <v>2723</v>
      </c>
      <c r="E145" s="31">
        <v>274</v>
      </c>
      <c r="F145" s="31" t="s">
        <v>2824</v>
      </c>
      <c r="G145" s="56" t="s">
        <v>2825</v>
      </c>
      <c r="H145" s="50" t="s">
        <v>2838</v>
      </c>
      <c r="I145" s="40" t="s">
        <v>2838</v>
      </c>
      <c r="J145" s="31" t="s">
        <v>2839</v>
      </c>
      <c r="K145" s="36"/>
      <c r="L145" s="31" t="s">
        <v>1845</v>
      </c>
      <c r="M145" s="31" t="s">
        <v>1339</v>
      </c>
      <c r="N145" s="52" t="s">
        <v>2840</v>
      </c>
      <c r="O145" s="31" t="s">
        <v>1680</v>
      </c>
      <c r="P145" s="31" t="s">
        <v>1681</v>
      </c>
      <c r="Q145" s="31" t="s">
        <v>1848</v>
      </c>
      <c r="R145" s="70" t="s">
        <v>1910</v>
      </c>
      <c r="S145" s="53"/>
      <c r="T145" s="15"/>
      <c r="U145" s="15"/>
      <c r="V145" s="15"/>
      <c r="W145" s="15"/>
      <c r="X145" s="15"/>
      <c r="Y145" s="15"/>
      <c r="Z145" s="15"/>
    </row>
    <row r="146" spans="1:26" ht="12.75" customHeight="1">
      <c r="A146" s="26">
        <v>2</v>
      </c>
      <c r="B146" s="26" t="s">
        <v>398</v>
      </c>
      <c r="C146" s="26">
        <v>27</v>
      </c>
      <c r="D146" s="29" t="s">
        <v>2723</v>
      </c>
      <c r="E146" s="31">
        <v>274</v>
      </c>
      <c r="F146" s="31" t="s">
        <v>2824</v>
      </c>
      <c r="G146" s="56" t="s">
        <v>2825</v>
      </c>
      <c r="H146" s="50" t="s">
        <v>1958</v>
      </c>
      <c r="I146" s="40" t="s">
        <v>1958</v>
      </c>
      <c r="J146" s="31" t="s">
        <v>2240</v>
      </c>
      <c r="K146" s="36"/>
      <c r="L146" s="31" t="s">
        <v>1957</v>
      </c>
      <c r="M146" s="31" t="s">
        <v>1958</v>
      </c>
      <c r="N146" s="52" t="s">
        <v>2852</v>
      </c>
      <c r="O146" s="31" t="s">
        <v>1680</v>
      </c>
      <c r="P146" s="31" t="s">
        <v>1681</v>
      </c>
      <c r="Q146" s="70" t="s">
        <v>1975</v>
      </c>
      <c r="R146" s="42"/>
      <c r="S146" s="53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26">
        <v>2</v>
      </c>
      <c r="B147" s="26" t="s">
        <v>398</v>
      </c>
      <c r="C147" s="26">
        <v>27</v>
      </c>
      <c r="D147" s="29" t="s">
        <v>2723</v>
      </c>
      <c r="E147" s="31">
        <v>274</v>
      </c>
      <c r="F147" s="31" t="s">
        <v>2824</v>
      </c>
      <c r="G147" s="56" t="s">
        <v>2825</v>
      </c>
      <c r="H147" s="50" t="s">
        <v>1708</v>
      </c>
      <c r="I147" s="40" t="s">
        <v>1708</v>
      </c>
      <c r="J147" s="31" t="s">
        <v>2853</v>
      </c>
      <c r="K147" s="36"/>
      <c r="L147" s="42" t="s">
        <v>1707</v>
      </c>
      <c r="M147" s="38" t="s">
        <v>1708</v>
      </c>
      <c r="N147" s="52" t="s">
        <v>2857</v>
      </c>
      <c r="O147" s="31" t="s">
        <v>1680</v>
      </c>
      <c r="P147" s="70" t="s">
        <v>1681</v>
      </c>
      <c r="Q147" s="70" t="s">
        <v>2073</v>
      </c>
      <c r="R147" s="70" t="s">
        <v>2353</v>
      </c>
      <c r="S147" s="53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26">
        <v>2</v>
      </c>
      <c r="B148" s="26" t="s">
        <v>398</v>
      </c>
      <c r="C148" s="26">
        <v>27</v>
      </c>
      <c r="D148" s="29" t="s">
        <v>2723</v>
      </c>
      <c r="E148" s="31">
        <v>274</v>
      </c>
      <c r="F148" s="31" t="s">
        <v>2824</v>
      </c>
      <c r="G148" s="56" t="s">
        <v>2825</v>
      </c>
      <c r="H148" s="50" t="s">
        <v>2859</v>
      </c>
      <c r="I148" s="40"/>
      <c r="J148" s="31" t="s">
        <v>2860</v>
      </c>
      <c r="K148" s="36"/>
      <c r="L148" s="31"/>
      <c r="M148" s="31"/>
      <c r="N148" s="40"/>
      <c r="O148" s="31" t="s">
        <v>2770</v>
      </c>
      <c r="P148" s="31" t="s">
        <v>2771</v>
      </c>
      <c r="Q148" s="70" t="s">
        <v>2862</v>
      </c>
      <c r="R148" s="42"/>
      <c r="S148" s="53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26">
        <v>2</v>
      </c>
      <c r="B149" s="26" t="s">
        <v>398</v>
      </c>
      <c r="C149" s="26">
        <v>27</v>
      </c>
      <c r="D149" s="29" t="s">
        <v>2723</v>
      </c>
      <c r="E149" s="31">
        <v>274</v>
      </c>
      <c r="F149" s="31" t="s">
        <v>2824</v>
      </c>
      <c r="G149" s="56" t="s">
        <v>2825</v>
      </c>
      <c r="H149" s="50" t="s">
        <v>2818</v>
      </c>
      <c r="I149" s="40" t="s">
        <v>2818</v>
      </c>
      <c r="J149" s="31" t="s">
        <v>2872</v>
      </c>
      <c r="K149" s="36"/>
      <c r="L149" s="31" t="s">
        <v>2816</v>
      </c>
      <c r="M149" s="31" t="s">
        <v>2818</v>
      </c>
      <c r="N149" s="52" t="s">
        <v>2819</v>
      </c>
      <c r="O149" s="31" t="s">
        <v>2770</v>
      </c>
      <c r="P149" s="31" t="s">
        <v>2771</v>
      </c>
      <c r="Q149" s="70" t="s">
        <v>2874</v>
      </c>
      <c r="R149" s="42"/>
      <c r="S149" s="53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26">
        <v>2</v>
      </c>
      <c r="B150" s="26" t="s">
        <v>398</v>
      </c>
      <c r="C150" s="26">
        <v>27</v>
      </c>
      <c r="D150" s="29" t="s">
        <v>2723</v>
      </c>
      <c r="E150" s="31">
        <v>275</v>
      </c>
      <c r="F150" s="31" t="s">
        <v>2875</v>
      </c>
      <c r="G150" s="56" t="s">
        <v>2876</v>
      </c>
      <c r="H150" s="50" t="s">
        <v>2875</v>
      </c>
      <c r="I150" s="40" t="s">
        <v>2875</v>
      </c>
      <c r="J150" s="31" t="s">
        <v>2878</v>
      </c>
      <c r="K150" s="36"/>
      <c r="L150" s="31" t="s">
        <v>2879</v>
      </c>
      <c r="M150" s="31" t="s">
        <v>2880</v>
      </c>
      <c r="N150" s="40"/>
      <c r="O150" s="31" t="s">
        <v>2783</v>
      </c>
      <c r="P150" s="31" t="s">
        <v>2886</v>
      </c>
      <c r="Q150" s="70" t="s">
        <v>2887</v>
      </c>
      <c r="R150" s="42"/>
      <c r="S150" s="53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26">
        <v>2</v>
      </c>
      <c r="B151" s="26" t="s">
        <v>398</v>
      </c>
      <c r="C151" s="26">
        <v>27</v>
      </c>
      <c r="D151" s="29" t="s">
        <v>2723</v>
      </c>
      <c r="E151" s="31">
        <v>276</v>
      </c>
      <c r="F151" s="34" t="s">
        <v>2889</v>
      </c>
      <c r="G151" s="56" t="s">
        <v>2891</v>
      </c>
      <c r="H151" s="50" t="s">
        <v>2892</v>
      </c>
      <c r="I151" s="40" t="s">
        <v>2892</v>
      </c>
      <c r="J151" s="31" t="s">
        <v>2893</v>
      </c>
      <c r="K151" s="36"/>
      <c r="L151" s="31" t="s">
        <v>2778</v>
      </c>
      <c r="M151" s="31" t="s">
        <v>2779</v>
      </c>
      <c r="N151" s="52" t="s">
        <v>2780</v>
      </c>
      <c r="O151" s="31" t="s">
        <v>2783</v>
      </c>
      <c r="P151" s="31" t="s">
        <v>2886</v>
      </c>
      <c r="Q151" s="70" t="s">
        <v>2896</v>
      </c>
      <c r="R151" s="42"/>
      <c r="S151" s="53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26">
        <v>2</v>
      </c>
      <c r="B152" s="26" t="s">
        <v>398</v>
      </c>
      <c r="C152" s="26">
        <v>27</v>
      </c>
      <c r="D152" s="29" t="s">
        <v>2723</v>
      </c>
      <c r="E152" s="31">
        <v>276</v>
      </c>
      <c r="F152" s="34" t="s">
        <v>2889</v>
      </c>
      <c r="G152" s="56" t="s">
        <v>2891</v>
      </c>
      <c r="H152" s="50" t="s">
        <v>2899</v>
      </c>
      <c r="I152" s="40" t="s">
        <v>2899</v>
      </c>
      <c r="J152" s="34" t="s">
        <v>2900</v>
      </c>
      <c r="K152" s="36"/>
      <c r="L152" s="31" t="s">
        <v>2412</v>
      </c>
      <c r="M152" s="31" t="s">
        <v>2779</v>
      </c>
      <c r="N152" s="52" t="s">
        <v>2780</v>
      </c>
      <c r="O152" s="31" t="s">
        <v>2783</v>
      </c>
      <c r="P152" s="31" t="s">
        <v>2886</v>
      </c>
      <c r="Q152" s="70" t="s">
        <v>2903</v>
      </c>
      <c r="R152" s="42"/>
      <c r="S152" s="53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26">
        <v>2</v>
      </c>
      <c r="B153" s="26" t="s">
        <v>398</v>
      </c>
      <c r="C153" s="26">
        <v>27</v>
      </c>
      <c r="D153" s="29" t="s">
        <v>2723</v>
      </c>
      <c r="E153" s="31">
        <v>276</v>
      </c>
      <c r="F153" s="34" t="s">
        <v>2889</v>
      </c>
      <c r="G153" s="56" t="s">
        <v>2891</v>
      </c>
      <c r="H153" s="50" t="s">
        <v>2906</v>
      </c>
      <c r="I153" s="40" t="s">
        <v>2906</v>
      </c>
      <c r="J153" s="31" t="s">
        <v>2907</v>
      </c>
      <c r="K153" s="36"/>
      <c r="L153" s="31" t="s">
        <v>2909</v>
      </c>
      <c r="M153" s="31" t="s">
        <v>2779</v>
      </c>
      <c r="N153" s="52" t="s">
        <v>2780</v>
      </c>
      <c r="O153" s="31" t="s">
        <v>2783</v>
      </c>
      <c r="P153" s="31" t="s">
        <v>2886</v>
      </c>
      <c r="Q153" s="70" t="s">
        <v>2910</v>
      </c>
      <c r="R153" s="42"/>
      <c r="S153" s="53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26">
        <v>2</v>
      </c>
      <c r="B154" s="26" t="s">
        <v>398</v>
      </c>
      <c r="C154" s="26">
        <v>27</v>
      </c>
      <c r="D154" s="29" t="s">
        <v>2723</v>
      </c>
      <c r="E154" s="31">
        <v>277</v>
      </c>
      <c r="F154" s="31" t="s">
        <v>2911</v>
      </c>
      <c r="G154" s="56" t="s">
        <v>2912</v>
      </c>
      <c r="H154" s="50" t="s">
        <v>2911</v>
      </c>
      <c r="I154" s="40" t="s">
        <v>2911</v>
      </c>
      <c r="J154" s="31"/>
      <c r="K154" s="36"/>
      <c r="L154" s="31" t="s">
        <v>2778</v>
      </c>
      <c r="M154" s="31" t="s">
        <v>2779</v>
      </c>
      <c r="N154" s="52" t="s">
        <v>2780</v>
      </c>
      <c r="O154" s="31" t="s">
        <v>2783</v>
      </c>
      <c r="P154" s="70"/>
      <c r="Q154" s="70"/>
      <c r="R154" s="42"/>
      <c r="S154" s="44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26">
        <v>2</v>
      </c>
      <c r="B155" s="26" t="s">
        <v>398</v>
      </c>
      <c r="C155" s="26">
        <v>27</v>
      </c>
      <c r="D155" s="29" t="s">
        <v>2723</v>
      </c>
      <c r="E155" s="31">
        <v>279</v>
      </c>
      <c r="F155" s="31" t="s">
        <v>2918</v>
      </c>
      <c r="G155" s="32" t="s">
        <v>1949</v>
      </c>
      <c r="H155" s="50" t="s">
        <v>2919</v>
      </c>
      <c r="I155" s="52" t="s">
        <v>2921</v>
      </c>
      <c r="J155" s="31" t="s">
        <v>2922</v>
      </c>
      <c r="K155" s="36"/>
      <c r="L155" s="31" t="s">
        <v>2923</v>
      </c>
      <c r="M155" s="31" t="s">
        <v>2919</v>
      </c>
      <c r="N155" s="52" t="s">
        <v>2924</v>
      </c>
      <c r="O155" s="31" t="s">
        <v>2783</v>
      </c>
      <c r="P155" s="70"/>
      <c r="Q155" s="70"/>
      <c r="R155" s="42"/>
      <c r="S155" s="44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26">
        <v>2</v>
      </c>
      <c r="B156" s="26" t="s">
        <v>398</v>
      </c>
      <c r="C156" s="26">
        <v>28</v>
      </c>
      <c r="D156" s="28" t="s">
        <v>2925</v>
      </c>
      <c r="E156" s="31">
        <v>281</v>
      </c>
      <c r="F156" s="31" t="s">
        <v>2926</v>
      </c>
      <c r="G156" s="56" t="s">
        <v>2928</v>
      </c>
      <c r="H156" s="59" t="s">
        <v>2930</v>
      </c>
      <c r="I156" s="40" t="s">
        <v>2930</v>
      </c>
      <c r="J156" s="34" t="s">
        <v>2931</v>
      </c>
      <c r="K156" s="36"/>
      <c r="L156" s="31"/>
      <c r="M156" s="31"/>
      <c r="N156" s="32"/>
      <c r="O156" s="31" t="s">
        <v>2933</v>
      </c>
      <c r="P156" s="70"/>
      <c r="Q156" s="70"/>
      <c r="R156" s="42" t="s">
        <v>2934</v>
      </c>
      <c r="S156" s="44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26">
        <v>2</v>
      </c>
      <c r="B157" s="26" t="s">
        <v>398</v>
      </c>
      <c r="C157" s="26">
        <v>28</v>
      </c>
      <c r="D157" s="28" t="s">
        <v>2925</v>
      </c>
      <c r="E157" s="31">
        <v>282</v>
      </c>
      <c r="F157" s="31" t="s">
        <v>2936</v>
      </c>
      <c r="G157" s="56" t="s">
        <v>2937</v>
      </c>
      <c r="H157" s="59" t="s">
        <v>1064</v>
      </c>
      <c r="I157" s="40" t="s">
        <v>1064</v>
      </c>
      <c r="J157" s="34" t="s">
        <v>1065</v>
      </c>
      <c r="K157" s="36"/>
      <c r="L157" s="31"/>
      <c r="M157" s="31"/>
      <c r="N157" s="40"/>
      <c r="O157" s="31" t="s">
        <v>2933</v>
      </c>
      <c r="P157" s="70"/>
      <c r="Q157" s="70"/>
      <c r="R157" s="42" t="s">
        <v>2939</v>
      </c>
      <c r="S157" s="44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26">
        <v>2</v>
      </c>
      <c r="B158" s="26" t="s">
        <v>398</v>
      </c>
      <c r="C158" s="26">
        <v>28</v>
      </c>
      <c r="D158" s="28" t="s">
        <v>2925</v>
      </c>
      <c r="E158" s="31">
        <v>283</v>
      </c>
      <c r="F158" s="31" t="s">
        <v>2940</v>
      </c>
      <c r="G158" s="32" t="s">
        <v>2941</v>
      </c>
      <c r="H158" s="50" t="s">
        <v>2942</v>
      </c>
      <c r="I158" s="40" t="s">
        <v>2942</v>
      </c>
      <c r="J158" s="31" t="s">
        <v>2943</v>
      </c>
      <c r="K158" s="36"/>
      <c r="L158" s="31" t="s">
        <v>2944</v>
      </c>
      <c r="M158" s="31" t="s">
        <v>2945</v>
      </c>
      <c r="N158" s="52" t="s">
        <v>2946</v>
      </c>
      <c r="O158" s="31" t="s">
        <v>2947</v>
      </c>
      <c r="P158" s="31"/>
      <c r="Q158" s="70"/>
      <c r="R158" s="42"/>
      <c r="S158" s="44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26">
        <v>2</v>
      </c>
      <c r="B159" s="26" t="s">
        <v>398</v>
      </c>
      <c r="C159" s="26">
        <v>28</v>
      </c>
      <c r="D159" s="28" t="s">
        <v>2925</v>
      </c>
      <c r="E159" s="31">
        <v>284</v>
      </c>
      <c r="F159" s="31" t="s">
        <v>2954</v>
      </c>
      <c r="G159" s="56" t="s">
        <v>2955</v>
      </c>
      <c r="H159" s="59" t="s">
        <v>2956</v>
      </c>
      <c r="I159" s="52" t="s">
        <v>2956</v>
      </c>
      <c r="J159" s="34" t="s">
        <v>2957</v>
      </c>
      <c r="K159" s="36"/>
      <c r="L159" s="31" t="s">
        <v>2958</v>
      </c>
      <c r="M159" s="31" t="s">
        <v>2959</v>
      </c>
      <c r="N159" s="40"/>
      <c r="O159" s="70" t="s">
        <v>928</v>
      </c>
      <c r="P159" s="42" t="s">
        <v>973</v>
      </c>
      <c r="Q159" s="70" t="s">
        <v>2170</v>
      </c>
      <c r="R159" s="42"/>
      <c r="S159" s="44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26">
        <v>2</v>
      </c>
      <c r="B160" s="26" t="s">
        <v>398</v>
      </c>
      <c r="C160" s="26">
        <v>28</v>
      </c>
      <c r="D160" s="28" t="s">
        <v>2925</v>
      </c>
      <c r="E160" s="31">
        <v>284</v>
      </c>
      <c r="F160" s="31" t="s">
        <v>2954</v>
      </c>
      <c r="G160" s="56" t="s">
        <v>2955</v>
      </c>
      <c r="H160" s="59" t="s">
        <v>2962</v>
      </c>
      <c r="I160" s="52" t="s">
        <v>2962</v>
      </c>
      <c r="J160" s="34" t="s">
        <v>2963</v>
      </c>
      <c r="K160" s="36"/>
      <c r="L160" s="31" t="s">
        <v>2958</v>
      </c>
      <c r="M160" s="31" t="s">
        <v>2959</v>
      </c>
      <c r="N160" s="40"/>
      <c r="O160" s="31" t="s">
        <v>2966</v>
      </c>
      <c r="P160" s="70" t="s">
        <v>2967</v>
      </c>
      <c r="Q160" s="70" t="s">
        <v>2969</v>
      </c>
      <c r="R160" s="42"/>
      <c r="S160" s="44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26">
        <v>2</v>
      </c>
      <c r="B161" s="26" t="s">
        <v>398</v>
      </c>
      <c r="C161" s="26">
        <v>28</v>
      </c>
      <c r="D161" s="28" t="s">
        <v>2925</v>
      </c>
      <c r="E161" s="31">
        <v>284</v>
      </c>
      <c r="F161" s="31" t="s">
        <v>2954</v>
      </c>
      <c r="G161" s="56" t="s">
        <v>2955</v>
      </c>
      <c r="H161" s="59" t="s">
        <v>2976</v>
      </c>
      <c r="I161" s="52" t="s">
        <v>2976</v>
      </c>
      <c r="J161" s="34" t="s">
        <v>2977</v>
      </c>
      <c r="K161" s="36"/>
      <c r="L161" s="31" t="s">
        <v>2958</v>
      </c>
      <c r="M161" s="31" t="s">
        <v>2959</v>
      </c>
      <c r="N161" s="40"/>
      <c r="O161" s="31" t="s">
        <v>800</v>
      </c>
      <c r="P161" s="70"/>
      <c r="Q161" s="70"/>
      <c r="R161" s="42"/>
      <c r="S161" s="44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26">
        <v>2</v>
      </c>
      <c r="B162" s="26" t="s">
        <v>398</v>
      </c>
      <c r="C162" s="26">
        <v>28</v>
      </c>
      <c r="D162" s="28" t="s">
        <v>2925</v>
      </c>
      <c r="E162" s="31">
        <v>285</v>
      </c>
      <c r="F162" s="31" t="s">
        <v>2983</v>
      </c>
      <c r="G162" s="56" t="s">
        <v>1500</v>
      </c>
      <c r="H162" s="50" t="s">
        <v>2983</v>
      </c>
      <c r="I162" s="40" t="s">
        <v>2983</v>
      </c>
      <c r="J162" s="31" t="s">
        <v>2987</v>
      </c>
      <c r="K162" s="36"/>
      <c r="L162" s="31"/>
      <c r="M162" s="38"/>
      <c r="N162" s="40"/>
      <c r="O162" s="70" t="s">
        <v>928</v>
      </c>
      <c r="P162" s="42" t="s">
        <v>973</v>
      </c>
      <c r="Q162" s="70" t="s">
        <v>2170</v>
      </c>
      <c r="R162" s="42"/>
      <c r="S162" s="44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26">
        <v>2</v>
      </c>
      <c r="B163" s="26" t="s">
        <v>398</v>
      </c>
      <c r="C163" s="26">
        <v>28</v>
      </c>
      <c r="D163" s="28" t="s">
        <v>2925</v>
      </c>
      <c r="E163" s="31">
        <v>286</v>
      </c>
      <c r="F163" s="31" t="s">
        <v>2989</v>
      </c>
      <c r="G163" s="32"/>
      <c r="H163" s="50" t="s">
        <v>2989</v>
      </c>
      <c r="I163" s="40" t="s">
        <v>2989</v>
      </c>
      <c r="J163" s="31" t="s">
        <v>2990</v>
      </c>
      <c r="K163" s="36"/>
      <c r="L163" s="31"/>
      <c r="M163" s="38"/>
      <c r="N163" s="40"/>
      <c r="O163" s="42" t="s">
        <v>2556</v>
      </c>
      <c r="P163" s="70"/>
      <c r="Q163" s="70"/>
      <c r="R163" s="42"/>
      <c r="S163" s="44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26">
        <v>2</v>
      </c>
      <c r="B164" s="26" t="s">
        <v>398</v>
      </c>
      <c r="C164" s="26">
        <v>28</v>
      </c>
      <c r="D164" s="28" t="s">
        <v>2925</v>
      </c>
      <c r="E164" s="31">
        <v>287</v>
      </c>
      <c r="F164" s="34" t="s">
        <v>2994</v>
      </c>
      <c r="G164" s="32"/>
      <c r="H164" s="88" t="s">
        <v>2995</v>
      </c>
      <c r="I164" s="56" t="s">
        <v>2996</v>
      </c>
      <c r="J164" s="31" t="s">
        <v>2997</v>
      </c>
      <c r="K164" s="36"/>
      <c r="L164" s="31" t="s">
        <v>1924</v>
      </c>
      <c r="M164" s="31" t="s">
        <v>1926</v>
      </c>
      <c r="N164" s="52" t="s">
        <v>1927</v>
      </c>
      <c r="O164" s="42" t="s">
        <v>1034</v>
      </c>
      <c r="P164" s="70"/>
      <c r="Q164" s="70"/>
      <c r="R164" s="42"/>
      <c r="S164" s="44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26">
        <v>2</v>
      </c>
      <c r="B165" s="26" t="s">
        <v>398</v>
      </c>
      <c r="C165" s="26">
        <v>28</v>
      </c>
      <c r="D165" s="28" t="s">
        <v>2925</v>
      </c>
      <c r="E165" s="31">
        <v>287</v>
      </c>
      <c r="F165" s="34" t="s">
        <v>2994</v>
      </c>
      <c r="G165" s="32"/>
      <c r="H165" s="88" t="s">
        <v>3004</v>
      </c>
      <c r="I165" s="56" t="s">
        <v>3005</v>
      </c>
      <c r="J165" s="31" t="s">
        <v>3006</v>
      </c>
      <c r="K165" s="36"/>
      <c r="L165" s="31" t="s">
        <v>1924</v>
      </c>
      <c r="M165" s="31" t="s">
        <v>1926</v>
      </c>
      <c r="N165" s="52" t="s">
        <v>1927</v>
      </c>
      <c r="O165" s="31" t="s">
        <v>2966</v>
      </c>
      <c r="P165" s="70" t="s">
        <v>2967</v>
      </c>
      <c r="Q165" s="70" t="s">
        <v>3009</v>
      </c>
      <c r="R165" s="42"/>
      <c r="S165" s="44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26">
        <v>2</v>
      </c>
      <c r="B166" s="26" t="s">
        <v>398</v>
      </c>
      <c r="C166" s="26">
        <v>28</v>
      </c>
      <c r="D166" s="28" t="s">
        <v>2925</v>
      </c>
      <c r="E166" s="31">
        <v>287</v>
      </c>
      <c r="F166" s="34" t="s">
        <v>2994</v>
      </c>
      <c r="G166" s="32"/>
      <c r="H166" s="88" t="s">
        <v>3017</v>
      </c>
      <c r="I166" s="32" t="s">
        <v>3018</v>
      </c>
      <c r="J166" s="31" t="s">
        <v>3019</v>
      </c>
      <c r="K166" s="36"/>
      <c r="L166" s="31" t="s">
        <v>1924</v>
      </c>
      <c r="M166" s="31" t="s">
        <v>1926</v>
      </c>
      <c r="N166" s="52" t="s">
        <v>1927</v>
      </c>
      <c r="O166" s="31" t="s">
        <v>2966</v>
      </c>
      <c r="P166" s="70" t="s">
        <v>2967</v>
      </c>
      <c r="Q166" s="70" t="s">
        <v>2969</v>
      </c>
      <c r="R166" s="42"/>
      <c r="S166" s="44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26">
        <v>2</v>
      </c>
      <c r="B167" s="26" t="s">
        <v>398</v>
      </c>
      <c r="C167" s="26">
        <v>28</v>
      </c>
      <c r="D167" s="28" t="s">
        <v>2925</v>
      </c>
      <c r="E167" s="31">
        <v>289</v>
      </c>
      <c r="F167" s="34" t="s">
        <v>3027</v>
      </c>
      <c r="G167" s="32" t="s">
        <v>1949</v>
      </c>
      <c r="H167" s="50" t="s">
        <v>3034</v>
      </c>
      <c r="I167" s="40" t="s">
        <v>3036</v>
      </c>
      <c r="J167" s="31" t="s">
        <v>3037</v>
      </c>
      <c r="K167" s="36"/>
      <c r="L167" s="31" t="s">
        <v>2944</v>
      </c>
      <c r="M167" s="31" t="s">
        <v>2945</v>
      </c>
      <c r="N167" s="52" t="s">
        <v>2946</v>
      </c>
      <c r="O167" s="42" t="s">
        <v>928</v>
      </c>
      <c r="P167" s="42" t="s">
        <v>973</v>
      </c>
      <c r="Q167" s="70" t="s">
        <v>3038</v>
      </c>
      <c r="R167" s="42"/>
      <c r="S167" s="53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26">
        <v>2</v>
      </c>
      <c r="B168" s="26" t="s">
        <v>398</v>
      </c>
      <c r="C168" s="26">
        <v>28</v>
      </c>
      <c r="D168" s="28" t="s">
        <v>2925</v>
      </c>
      <c r="E168" s="31">
        <v>289</v>
      </c>
      <c r="F168" s="34" t="s">
        <v>3027</v>
      </c>
      <c r="G168" s="32" t="s">
        <v>1949</v>
      </c>
      <c r="H168" s="50" t="s">
        <v>3040</v>
      </c>
      <c r="I168" s="40" t="s">
        <v>3040</v>
      </c>
      <c r="J168" s="31" t="s">
        <v>3041</v>
      </c>
      <c r="K168" s="36"/>
      <c r="L168" s="31" t="s">
        <v>3042</v>
      </c>
      <c r="M168" s="34" t="s">
        <v>3044</v>
      </c>
      <c r="N168" s="40" t="s">
        <v>3046</v>
      </c>
      <c r="O168" s="42" t="s">
        <v>2933</v>
      </c>
      <c r="P168" s="70"/>
      <c r="Q168" s="70"/>
      <c r="R168" s="42"/>
      <c r="S168" s="53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26">
        <v>2</v>
      </c>
      <c r="B169" s="26" t="s">
        <v>398</v>
      </c>
      <c r="C169" s="26">
        <v>28</v>
      </c>
      <c r="D169" s="28" t="s">
        <v>2925</v>
      </c>
      <c r="E169" s="31">
        <v>289</v>
      </c>
      <c r="F169" s="34" t="s">
        <v>3027</v>
      </c>
      <c r="G169" s="32" t="s">
        <v>1949</v>
      </c>
      <c r="H169" s="50" t="s">
        <v>3054</v>
      </c>
      <c r="I169" s="52" t="s">
        <v>3055</v>
      </c>
      <c r="J169" s="34" t="s">
        <v>3058</v>
      </c>
      <c r="K169" s="36"/>
      <c r="L169" s="31" t="s">
        <v>3042</v>
      </c>
      <c r="M169" s="34" t="s">
        <v>3044</v>
      </c>
      <c r="N169" s="40" t="s">
        <v>3046</v>
      </c>
      <c r="O169" s="42" t="s">
        <v>2933</v>
      </c>
      <c r="P169" s="31" t="s">
        <v>3059</v>
      </c>
      <c r="Q169" s="70" t="s">
        <v>3060</v>
      </c>
      <c r="R169" s="42"/>
      <c r="S169" s="53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26">
        <v>2</v>
      </c>
      <c r="B170" s="26" t="s">
        <v>398</v>
      </c>
      <c r="C170" s="26">
        <v>29</v>
      </c>
      <c r="D170" s="29" t="s">
        <v>3064</v>
      </c>
      <c r="E170" s="31">
        <v>290</v>
      </c>
      <c r="F170" s="31"/>
      <c r="G170" s="106"/>
      <c r="H170" s="33" t="s">
        <v>3075</v>
      </c>
      <c r="I170" s="32" t="s">
        <v>3075</v>
      </c>
      <c r="J170" s="31" t="s">
        <v>3076</v>
      </c>
      <c r="K170" s="36"/>
      <c r="L170" s="31" t="s">
        <v>3077</v>
      </c>
      <c r="M170" s="34" t="s">
        <v>3079</v>
      </c>
      <c r="N170" s="52" t="s">
        <v>3083</v>
      </c>
      <c r="O170" s="42" t="s">
        <v>3084</v>
      </c>
      <c r="P170" s="70"/>
      <c r="Q170" s="70"/>
      <c r="R170" s="42"/>
      <c r="S170" s="53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26">
        <v>2</v>
      </c>
      <c r="B171" s="26" t="s">
        <v>398</v>
      </c>
      <c r="C171" s="26">
        <v>29</v>
      </c>
      <c r="D171" s="29" t="s">
        <v>3064</v>
      </c>
      <c r="E171" s="31">
        <v>290</v>
      </c>
      <c r="F171" s="31"/>
      <c r="G171" s="106"/>
      <c r="H171" s="33" t="s">
        <v>3085</v>
      </c>
      <c r="I171" s="32" t="s">
        <v>3085</v>
      </c>
      <c r="J171" s="31" t="s">
        <v>3086</v>
      </c>
      <c r="K171" s="36"/>
      <c r="L171" s="31" t="s">
        <v>3077</v>
      </c>
      <c r="M171" s="34" t="s">
        <v>3079</v>
      </c>
      <c r="N171" s="52" t="s">
        <v>3083</v>
      </c>
      <c r="O171" s="42" t="s">
        <v>3090</v>
      </c>
      <c r="P171" s="70"/>
      <c r="Q171" s="70"/>
      <c r="R171" s="42"/>
      <c r="S171" s="53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26">
        <v>2</v>
      </c>
      <c r="B172" s="26" t="s">
        <v>398</v>
      </c>
      <c r="C172" s="26">
        <v>29</v>
      </c>
      <c r="D172" s="29" t="s">
        <v>3064</v>
      </c>
      <c r="E172" s="31">
        <v>290</v>
      </c>
      <c r="F172" s="31"/>
      <c r="G172" s="29"/>
      <c r="H172" s="33" t="s">
        <v>3099</v>
      </c>
      <c r="I172" s="29"/>
      <c r="J172" s="38" t="s">
        <v>3101</v>
      </c>
      <c r="K172" s="36"/>
      <c r="L172" s="38"/>
      <c r="M172" s="38"/>
      <c r="N172" s="29"/>
      <c r="O172" s="42" t="s">
        <v>3102</v>
      </c>
      <c r="P172" s="70" t="s">
        <v>3103</v>
      </c>
      <c r="Q172" s="70" t="s">
        <v>3104</v>
      </c>
      <c r="R172" s="42"/>
      <c r="S172" s="53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26">
        <v>2</v>
      </c>
      <c r="B173" s="26" t="s">
        <v>398</v>
      </c>
      <c r="C173" s="26">
        <v>29</v>
      </c>
      <c r="D173" s="29" t="s">
        <v>3064</v>
      </c>
      <c r="E173" s="31">
        <v>290</v>
      </c>
      <c r="F173" s="31"/>
      <c r="G173" s="29"/>
      <c r="H173" s="33" t="s">
        <v>3106</v>
      </c>
      <c r="I173" s="29"/>
      <c r="J173" s="38" t="s">
        <v>1219</v>
      </c>
      <c r="K173" s="36"/>
      <c r="L173" s="42"/>
      <c r="M173" s="38"/>
      <c r="N173" s="40"/>
      <c r="O173" s="42" t="s">
        <v>3102</v>
      </c>
      <c r="P173" s="70" t="s">
        <v>3103</v>
      </c>
      <c r="Q173" s="70" t="s">
        <v>3107</v>
      </c>
      <c r="R173" s="42"/>
      <c r="S173" s="53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26">
        <v>2</v>
      </c>
      <c r="B174" s="26" t="s">
        <v>398</v>
      </c>
      <c r="C174" s="26">
        <v>29</v>
      </c>
      <c r="D174" s="29" t="s">
        <v>3064</v>
      </c>
      <c r="E174" s="31">
        <v>290</v>
      </c>
      <c r="F174" s="31"/>
      <c r="G174" s="29"/>
      <c r="H174" s="33" t="s">
        <v>3110</v>
      </c>
      <c r="I174" s="29" t="s">
        <v>3111</v>
      </c>
      <c r="J174" s="38" t="s">
        <v>3113</v>
      </c>
      <c r="K174" s="38" t="s">
        <v>3114</v>
      </c>
      <c r="L174" s="38"/>
      <c r="M174" s="38"/>
      <c r="N174" s="40"/>
      <c r="O174" s="42" t="s">
        <v>3102</v>
      </c>
      <c r="P174" s="70" t="s">
        <v>3103</v>
      </c>
      <c r="Q174" s="70" t="s">
        <v>3115</v>
      </c>
      <c r="R174" s="42"/>
      <c r="S174" s="53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26">
        <v>2</v>
      </c>
      <c r="B175" s="26" t="s">
        <v>398</v>
      </c>
      <c r="C175" s="26">
        <v>29</v>
      </c>
      <c r="D175" s="29" t="s">
        <v>3064</v>
      </c>
      <c r="E175" s="31">
        <v>290</v>
      </c>
      <c r="F175" s="31"/>
      <c r="G175" s="29"/>
      <c r="H175" s="66" t="s">
        <v>3116</v>
      </c>
      <c r="I175" s="28" t="s">
        <v>3117</v>
      </c>
      <c r="J175" s="85" t="s">
        <v>3118</v>
      </c>
      <c r="K175" s="38" t="s">
        <v>3119</v>
      </c>
      <c r="L175" s="42"/>
      <c r="M175" s="38"/>
      <c r="N175" s="40"/>
      <c r="O175" s="42" t="s">
        <v>847</v>
      </c>
      <c r="P175" s="70" t="s">
        <v>3120</v>
      </c>
      <c r="Q175" s="70" t="s">
        <v>3121</v>
      </c>
      <c r="R175" s="70"/>
      <c r="S175" s="108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B176" s="47"/>
      <c r="C176" s="47"/>
      <c r="D176" s="47"/>
      <c r="E176" s="47"/>
      <c r="F176" s="47"/>
      <c r="G176" s="47"/>
      <c r="H176" s="84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B177" s="47"/>
      <c r="C177" s="47"/>
      <c r="D177" s="47"/>
      <c r="E177" s="47"/>
      <c r="F177" s="47"/>
      <c r="G177" s="47"/>
      <c r="H177" s="84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B178" s="47"/>
      <c r="C178" s="47"/>
      <c r="D178" s="47"/>
      <c r="E178" s="47"/>
      <c r="F178" s="47"/>
      <c r="G178" s="47"/>
      <c r="H178" s="84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B179" s="47"/>
      <c r="C179" s="47"/>
      <c r="D179" s="47"/>
      <c r="E179" s="47"/>
      <c r="F179" s="47"/>
      <c r="G179" s="47"/>
      <c r="H179" s="84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B180" s="47"/>
      <c r="C180" s="47"/>
      <c r="D180" s="47"/>
      <c r="E180" s="47"/>
      <c r="F180" s="47"/>
      <c r="G180" s="47"/>
      <c r="H180" s="84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B181" s="47"/>
      <c r="C181" s="47"/>
      <c r="D181" s="47"/>
      <c r="E181" s="47"/>
      <c r="F181" s="47"/>
      <c r="G181" s="47"/>
      <c r="H181" s="84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B182" s="47"/>
      <c r="C182" s="47"/>
      <c r="D182" s="47"/>
      <c r="E182" s="47"/>
      <c r="F182" s="47"/>
      <c r="G182" s="47"/>
      <c r="H182" s="84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B183" s="47"/>
      <c r="C183" s="47"/>
      <c r="D183" s="47"/>
      <c r="E183" s="47"/>
      <c r="F183" s="47"/>
      <c r="G183" s="47"/>
      <c r="H183" s="84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B184" s="47"/>
      <c r="C184" s="47"/>
      <c r="D184" s="47"/>
      <c r="E184" s="47"/>
      <c r="F184" s="47"/>
      <c r="G184" s="47"/>
      <c r="H184" s="84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B185" s="47"/>
      <c r="C185" s="47"/>
      <c r="D185" s="47"/>
      <c r="E185" s="47"/>
      <c r="F185" s="47"/>
      <c r="G185" s="47"/>
      <c r="H185" s="84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B186" s="47"/>
      <c r="C186" s="47"/>
      <c r="D186" s="47"/>
      <c r="E186" s="47"/>
      <c r="F186" s="47"/>
      <c r="G186" s="47"/>
      <c r="H186" s="84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B187" s="47"/>
      <c r="C187" s="47"/>
      <c r="D187" s="47"/>
      <c r="E187" s="47"/>
      <c r="F187" s="47"/>
      <c r="G187" s="47"/>
      <c r="H187" s="84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B188" s="47"/>
      <c r="C188" s="47"/>
      <c r="D188" s="47"/>
      <c r="E188" s="47"/>
      <c r="F188" s="47"/>
      <c r="G188" s="47"/>
      <c r="H188" s="84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B189" s="47"/>
      <c r="C189" s="47"/>
      <c r="D189" s="47"/>
      <c r="E189" s="47"/>
      <c r="F189" s="47"/>
      <c r="G189" s="47"/>
      <c r="H189" s="84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B190" s="47"/>
      <c r="C190" s="47"/>
      <c r="D190" s="47"/>
      <c r="E190" s="47"/>
      <c r="F190" s="47"/>
      <c r="G190" s="47"/>
      <c r="H190" s="84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B191" s="47"/>
      <c r="C191" s="47"/>
      <c r="D191" s="47"/>
      <c r="E191" s="47"/>
      <c r="F191" s="47"/>
      <c r="G191" s="47"/>
      <c r="H191" s="84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B192" s="47"/>
      <c r="C192" s="47"/>
      <c r="D192" s="47"/>
      <c r="E192" s="47"/>
      <c r="F192" s="47"/>
      <c r="G192" s="47"/>
      <c r="H192" s="84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B193" s="47"/>
      <c r="C193" s="47"/>
      <c r="D193" s="47"/>
      <c r="E193" s="47"/>
      <c r="F193" s="47"/>
      <c r="G193" s="47"/>
      <c r="H193" s="84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B194" s="47"/>
      <c r="C194" s="47"/>
      <c r="D194" s="47"/>
      <c r="E194" s="47"/>
      <c r="F194" s="47"/>
      <c r="G194" s="47"/>
      <c r="H194" s="84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B195" s="47"/>
      <c r="C195" s="47"/>
      <c r="D195" s="47"/>
      <c r="E195" s="47"/>
      <c r="F195" s="47"/>
      <c r="G195" s="47"/>
      <c r="H195" s="84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B196" s="47"/>
      <c r="C196" s="47"/>
      <c r="D196" s="47"/>
      <c r="E196" s="47"/>
      <c r="F196" s="47"/>
      <c r="G196" s="47"/>
      <c r="H196" s="84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84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84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B199" s="47"/>
      <c r="C199" s="47"/>
      <c r="D199" s="47"/>
      <c r="E199" s="47"/>
      <c r="F199" s="47"/>
      <c r="G199" s="47"/>
      <c r="H199" s="84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B200" s="47"/>
      <c r="C200" s="47"/>
      <c r="D200" s="47"/>
      <c r="E200" s="47"/>
      <c r="F200" s="47"/>
      <c r="G200" s="47"/>
      <c r="H200" s="84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B201" s="47"/>
      <c r="C201" s="47"/>
      <c r="D201" s="47"/>
      <c r="E201" s="47"/>
      <c r="F201" s="47"/>
      <c r="G201" s="47"/>
      <c r="H201" s="84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B202" s="47"/>
      <c r="C202" s="47"/>
      <c r="D202" s="47"/>
      <c r="E202" s="47"/>
      <c r="F202" s="47"/>
      <c r="G202" s="47"/>
      <c r="H202" s="84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B203" s="47"/>
      <c r="C203" s="47"/>
      <c r="D203" s="47"/>
      <c r="E203" s="47"/>
      <c r="F203" s="47"/>
      <c r="G203" s="47"/>
      <c r="H203" s="84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B204" s="47"/>
      <c r="C204" s="47"/>
      <c r="D204" s="47"/>
      <c r="E204" s="47"/>
      <c r="F204" s="47"/>
      <c r="G204" s="47"/>
      <c r="H204" s="84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B205" s="47"/>
      <c r="C205" s="47"/>
      <c r="D205" s="47"/>
      <c r="E205" s="47"/>
      <c r="F205" s="47"/>
      <c r="G205" s="47"/>
      <c r="H205" s="84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B206" s="47"/>
      <c r="C206" s="47"/>
      <c r="D206" s="47"/>
      <c r="E206" s="47"/>
      <c r="F206" s="47"/>
      <c r="G206" s="47"/>
      <c r="H206" s="84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B207" s="47"/>
      <c r="C207" s="47"/>
      <c r="D207" s="47"/>
      <c r="E207" s="47"/>
      <c r="F207" s="47"/>
      <c r="G207" s="47"/>
      <c r="H207" s="84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B208" s="47"/>
      <c r="C208" s="47"/>
      <c r="D208" s="47"/>
      <c r="E208" s="47"/>
      <c r="F208" s="47"/>
      <c r="G208" s="47"/>
      <c r="H208" s="84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B209" s="47"/>
      <c r="C209" s="47"/>
      <c r="D209" s="47"/>
      <c r="E209" s="47"/>
      <c r="F209" s="47"/>
      <c r="G209" s="47"/>
      <c r="H209" s="84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B210" s="47"/>
      <c r="C210" s="47"/>
      <c r="D210" s="47"/>
      <c r="E210" s="47"/>
      <c r="F210" s="47"/>
      <c r="G210" s="47"/>
      <c r="H210" s="84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B211" s="47"/>
      <c r="C211" s="47"/>
      <c r="D211" s="47"/>
      <c r="E211" s="47"/>
      <c r="F211" s="47"/>
      <c r="G211" s="47"/>
      <c r="H211" s="84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B212" s="47"/>
      <c r="C212" s="47"/>
      <c r="D212" s="47"/>
      <c r="E212" s="47"/>
      <c r="F212" s="47"/>
      <c r="G212" s="47"/>
      <c r="H212" s="84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B213" s="47"/>
      <c r="C213" s="47"/>
      <c r="D213" s="47"/>
      <c r="E213" s="47"/>
      <c r="F213" s="47"/>
      <c r="G213" s="47"/>
      <c r="H213" s="84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B214" s="47"/>
      <c r="C214" s="47"/>
      <c r="D214" s="47"/>
      <c r="E214" s="47"/>
      <c r="F214" s="47"/>
      <c r="G214" s="47"/>
      <c r="H214" s="84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B215" s="47"/>
      <c r="C215" s="47"/>
      <c r="D215" s="47"/>
      <c r="E215" s="47"/>
      <c r="F215" s="47"/>
      <c r="G215" s="47"/>
      <c r="H215" s="84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B216" s="47"/>
      <c r="C216" s="47"/>
      <c r="D216" s="47"/>
      <c r="E216" s="47"/>
      <c r="F216" s="47"/>
      <c r="G216" s="47"/>
      <c r="H216" s="84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B217" s="47"/>
      <c r="C217" s="47"/>
      <c r="D217" s="47"/>
      <c r="E217" s="47"/>
      <c r="F217" s="47"/>
      <c r="G217" s="47"/>
      <c r="H217" s="84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B218" s="47"/>
      <c r="C218" s="47"/>
      <c r="D218" s="47"/>
      <c r="E218" s="47"/>
      <c r="F218" s="47"/>
      <c r="G218" s="47"/>
      <c r="H218" s="84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B219" s="47"/>
      <c r="C219" s="47"/>
      <c r="D219" s="47"/>
      <c r="E219" s="47"/>
      <c r="F219" s="47"/>
      <c r="G219" s="47"/>
      <c r="H219" s="84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B220" s="47"/>
      <c r="C220" s="47"/>
      <c r="D220" s="47"/>
      <c r="E220" s="47"/>
      <c r="F220" s="47"/>
      <c r="G220" s="47"/>
      <c r="H220" s="84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B221" s="47"/>
      <c r="C221" s="47"/>
      <c r="D221" s="47"/>
      <c r="E221" s="47"/>
      <c r="F221" s="47"/>
      <c r="G221" s="47"/>
      <c r="H221" s="84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B222" s="47"/>
      <c r="C222" s="47"/>
      <c r="D222" s="47"/>
      <c r="E222" s="47"/>
      <c r="F222" s="47"/>
      <c r="G222" s="47"/>
      <c r="H222" s="84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84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84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84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84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84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84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84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84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84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84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84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84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84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84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84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84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84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84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84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84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84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84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84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84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84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84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84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84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84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84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84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84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84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84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84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84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84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84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84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84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84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84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84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84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84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84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84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84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84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84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84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84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84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84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84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84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84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84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84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84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84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84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84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84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84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84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84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84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84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84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84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84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84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84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84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84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84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84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84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84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84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84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84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84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84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84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84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84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84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84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84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84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84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84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84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84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84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84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84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84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84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84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84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84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84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84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84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84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84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84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84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84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84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84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84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84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84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84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84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84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84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84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84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84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84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84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84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84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84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84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84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84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84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84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84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84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84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84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84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84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84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84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84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84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84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84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84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84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84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84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84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84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84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84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84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84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84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84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84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84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84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84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84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84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84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84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84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84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84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84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84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84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84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84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84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84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84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84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84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84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84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84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84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84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84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84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84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84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84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84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84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84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84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84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84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84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84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84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84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84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84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84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84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84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84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84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84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84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84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84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84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84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84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84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84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84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84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84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84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84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84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84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84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84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84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84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84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84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84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84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84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84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84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84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84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84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84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84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84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84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84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84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84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84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84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84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84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84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84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84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84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84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84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84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84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84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84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84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84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84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84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84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84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84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84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84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84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84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84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84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84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84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84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84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84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84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84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84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84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84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84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84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84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84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84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84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84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84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84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84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84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84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84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84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84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84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84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84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84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84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84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84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84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84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84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84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84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84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84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84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84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84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84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84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84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84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84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84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84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84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84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84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84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84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84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84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84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84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84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84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84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84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84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84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84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84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84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84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84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84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84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84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84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84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84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84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84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84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84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84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84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84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84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84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84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84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84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84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84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84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84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84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84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84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84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84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84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84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84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84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84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84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84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84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84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84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84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84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84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84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84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84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84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84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84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84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84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47"/>
      <c r="B610" s="47"/>
      <c r="C610" s="47"/>
      <c r="D610" s="47"/>
      <c r="E610" s="47"/>
      <c r="F610" s="47"/>
      <c r="G610" s="47"/>
      <c r="H610" s="84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47"/>
      <c r="B611" s="47"/>
      <c r="C611" s="47"/>
      <c r="D611" s="47"/>
      <c r="E611" s="47"/>
      <c r="F611" s="47"/>
      <c r="G611" s="47"/>
      <c r="H611" s="84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47"/>
      <c r="B612" s="47"/>
      <c r="C612" s="47"/>
      <c r="D612" s="47"/>
      <c r="E612" s="47"/>
      <c r="F612" s="47"/>
      <c r="G612" s="47"/>
      <c r="H612" s="84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47"/>
      <c r="B613" s="47"/>
      <c r="C613" s="47"/>
      <c r="D613" s="47"/>
      <c r="E613" s="47"/>
      <c r="F613" s="47"/>
      <c r="G613" s="47"/>
      <c r="H613" s="84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47"/>
      <c r="B614" s="47"/>
      <c r="C614" s="47"/>
      <c r="D614" s="47"/>
      <c r="E614" s="47"/>
      <c r="F614" s="47"/>
      <c r="G614" s="47"/>
      <c r="H614" s="84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47"/>
      <c r="B615" s="47"/>
      <c r="C615" s="47"/>
      <c r="D615" s="47"/>
      <c r="E615" s="47"/>
      <c r="F615" s="47"/>
      <c r="G615" s="47"/>
      <c r="H615" s="84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47"/>
      <c r="B616" s="47"/>
      <c r="C616" s="47"/>
      <c r="D616" s="47"/>
      <c r="E616" s="47"/>
      <c r="F616" s="47"/>
      <c r="G616" s="47"/>
      <c r="H616" s="84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47"/>
      <c r="B617" s="47"/>
      <c r="C617" s="47"/>
      <c r="D617" s="47"/>
      <c r="E617" s="47"/>
      <c r="F617" s="47"/>
      <c r="G617" s="47"/>
      <c r="H617" s="84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47"/>
      <c r="B618" s="47"/>
      <c r="C618" s="47"/>
      <c r="D618" s="47"/>
      <c r="E618" s="47"/>
      <c r="F618" s="47"/>
      <c r="G618" s="47"/>
      <c r="H618" s="84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47"/>
      <c r="B619" s="47"/>
      <c r="C619" s="47"/>
      <c r="D619" s="47"/>
      <c r="E619" s="47"/>
      <c r="F619" s="47"/>
      <c r="G619" s="47"/>
      <c r="H619" s="84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47"/>
      <c r="B620" s="47"/>
      <c r="C620" s="47"/>
      <c r="D620" s="47"/>
      <c r="E620" s="47"/>
      <c r="F620" s="47"/>
      <c r="G620" s="47"/>
      <c r="H620" s="84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47"/>
      <c r="B621" s="47"/>
      <c r="C621" s="47"/>
      <c r="D621" s="47"/>
      <c r="E621" s="47"/>
      <c r="F621" s="47"/>
      <c r="G621" s="47"/>
      <c r="H621" s="84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47"/>
      <c r="B622" s="47"/>
      <c r="C622" s="47"/>
      <c r="D622" s="47"/>
      <c r="E622" s="47"/>
      <c r="F622" s="47"/>
      <c r="G622" s="47"/>
      <c r="H622" s="84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47"/>
      <c r="B623" s="47"/>
      <c r="C623" s="47"/>
      <c r="D623" s="47"/>
      <c r="E623" s="47"/>
      <c r="F623" s="47"/>
      <c r="G623" s="47"/>
      <c r="H623" s="84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47"/>
      <c r="B624" s="47"/>
      <c r="C624" s="47"/>
      <c r="D624" s="47"/>
      <c r="E624" s="47"/>
      <c r="F624" s="47"/>
      <c r="G624" s="47"/>
      <c r="H624" s="84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47"/>
      <c r="B625" s="47"/>
      <c r="C625" s="47"/>
      <c r="D625" s="47"/>
      <c r="E625" s="47"/>
      <c r="F625" s="47"/>
      <c r="G625" s="47"/>
      <c r="H625" s="84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47"/>
      <c r="B626" s="47"/>
      <c r="C626" s="47"/>
      <c r="D626" s="47"/>
      <c r="E626" s="47"/>
      <c r="F626" s="47"/>
      <c r="G626" s="47"/>
      <c r="H626" s="84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47"/>
      <c r="B627" s="47"/>
      <c r="C627" s="47"/>
      <c r="D627" s="47"/>
      <c r="E627" s="47"/>
      <c r="F627" s="47"/>
      <c r="G627" s="47"/>
      <c r="H627" s="84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47"/>
      <c r="B628" s="47"/>
      <c r="C628" s="47"/>
      <c r="D628" s="47"/>
      <c r="E628" s="47"/>
      <c r="F628" s="47"/>
      <c r="G628" s="47"/>
      <c r="H628" s="84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47"/>
      <c r="B629" s="47"/>
      <c r="C629" s="47"/>
      <c r="D629" s="47"/>
      <c r="E629" s="47"/>
      <c r="F629" s="47"/>
      <c r="G629" s="47"/>
      <c r="H629" s="84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47"/>
      <c r="B630" s="47"/>
      <c r="C630" s="47"/>
      <c r="D630" s="47"/>
      <c r="E630" s="47"/>
      <c r="F630" s="47"/>
      <c r="G630" s="47"/>
      <c r="H630" s="84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47"/>
      <c r="B631" s="47"/>
      <c r="C631" s="47"/>
      <c r="D631" s="47"/>
      <c r="E631" s="47"/>
      <c r="F631" s="47"/>
      <c r="G631" s="47"/>
      <c r="H631" s="84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47"/>
      <c r="B632" s="47"/>
      <c r="C632" s="47"/>
      <c r="D632" s="47"/>
      <c r="E632" s="47"/>
      <c r="F632" s="47"/>
      <c r="G632" s="47"/>
      <c r="H632" s="84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47"/>
      <c r="B633" s="47"/>
      <c r="C633" s="47"/>
      <c r="D633" s="47"/>
      <c r="E633" s="47"/>
      <c r="F633" s="47"/>
      <c r="G633" s="47"/>
      <c r="H633" s="84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47"/>
      <c r="B634" s="47"/>
      <c r="C634" s="47"/>
      <c r="D634" s="47"/>
      <c r="E634" s="47"/>
      <c r="F634" s="47"/>
      <c r="G634" s="47"/>
      <c r="H634" s="84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47"/>
      <c r="B635" s="47"/>
      <c r="C635" s="47"/>
      <c r="D635" s="47"/>
      <c r="E635" s="47"/>
      <c r="F635" s="47"/>
      <c r="G635" s="47"/>
      <c r="H635" s="84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47"/>
      <c r="B636" s="47"/>
      <c r="C636" s="47"/>
      <c r="D636" s="47"/>
      <c r="E636" s="47"/>
      <c r="F636" s="47"/>
      <c r="G636" s="47"/>
      <c r="H636" s="84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47"/>
      <c r="B637" s="47"/>
      <c r="C637" s="47"/>
      <c r="D637" s="47"/>
      <c r="E637" s="47"/>
      <c r="F637" s="47"/>
      <c r="G637" s="47"/>
      <c r="H637" s="84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47"/>
      <c r="B638" s="47"/>
      <c r="C638" s="47"/>
      <c r="D638" s="47"/>
      <c r="E638" s="47"/>
      <c r="F638" s="47"/>
      <c r="G638" s="47"/>
      <c r="H638" s="84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47"/>
      <c r="B639" s="47"/>
      <c r="C639" s="47"/>
      <c r="D639" s="47"/>
      <c r="E639" s="47"/>
      <c r="F639" s="47"/>
      <c r="G639" s="47"/>
      <c r="H639" s="84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47"/>
      <c r="B640" s="47"/>
      <c r="C640" s="47"/>
      <c r="D640" s="47"/>
      <c r="E640" s="47"/>
      <c r="F640" s="47"/>
      <c r="G640" s="47"/>
      <c r="H640" s="84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47"/>
      <c r="B641" s="47"/>
      <c r="C641" s="47"/>
      <c r="D641" s="47"/>
      <c r="E641" s="47"/>
      <c r="F641" s="47"/>
      <c r="G641" s="47"/>
      <c r="H641" s="84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47"/>
      <c r="B642" s="47"/>
      <c r="C642" s="47"/>
      <c r="D642" s="47"/>
      <c r="E642" s="47"/>
      <c r="F642" s="47"/>
      <c r="G642" s="47"/>
      <c r="H642" s="84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47"/>
      <c r="B643" s="47"/>
      <c r="C643" s="47"/>
      <c r="D643" s="47"/>
      <c r="E643" s="47"/>
      <c r="F643" s="47"/>
      <c r="G643" s="47"/>
      <c r="H643" s="84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47"/>
      <c r="B644" s="47"/>
      <c r="C644" s="47"/>
      <c r="D644" s="47"/>
      <c r="E644" s="47"/>
      <c r="F644" s="47"/>
      <c r="G644" s="47"/>
      <c r="H644" s="84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47"/>
      <c r="B645" s="47"/>
      <c r="C645" s="47"/>
      <c r="D645" s="47"/>
      <c r="E645" s="47"/>
      <c r="F645" s="47"/>
      <c r="G645" s="47"/>
      <c r="H645" s="84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47"/>
      <c r="B646" s="47"/>
      <c r="C646" s="47"/>
      <c r="D646" s="47"/>
      <c r="E646" s="47"/>
      <c r="F646" s="47"/>
      <c r="G646" s="47"/>
      <c r="H646" s="84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47"/>
      <c r="B647" s="47"/>
      <c r="C647" s="47"/>
      <c r="D647" s="47"/>
      <c r="E647" s="47"/>
      <c r="F647" s="47"/>
      <c r="G647" s="47"/>
      <c r="H647" s="84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47"/>
      <c r="B648" s="47"/>
      <c r="C648" s="47"/>
      <c r="D648" s="47"/>
      <c r="E648" s="47"/>
      <c r="F648" s="47"/>
      <c r="G648" s="47"/>
      <c r="H648" s="84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47"/>
      <c r="B649" s="47"/>
      <c r="C649" s="47"/>
      <c r="D649" s="47"/>
      <c r="E649" s="47"/>
      <c r="F649" s="47"/>
      <c r="G649" s="47"/>
      <c r="H649" s="84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47"/>
      <c r="B650" s="47"/>
      <c r="C650" s="47"/>
      <c r="D650" s="47"/>
      <c r="E650" s="47"/>
      <c r="F650" s="47"/>
      <c r="G650" s="47"/>
      <c r="H650" s="84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47"/>
      <c r="B651" s="47"/>
      <c r="C651" s="47"/>
      <c r="D651" s="47"/>
      <c r="E651" s="47"/>
      <c r="F651" s="47"/>
      <c r="G651" s="47"/>
      <c r="H651" s="84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47"/>
      <c r="B652" s="47"/>
      <c r="C652" s="47"/>
      <c r="D652" s="47"/>
      <c r="E652" s="47"/>
      <c r="F652" s="47"/>
      <c r="G652" s="47"/>
      <c r="H652" s="84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47"/>
      <c r="B653" s="47"/>
      <c r="C653" s="47"/>
      <c r="D653" s="47"/>
      <c r="E653" s="47"/>
      <c r="F653" s="47"/>
      <c r="G653" s="47"/>
      <c r="H653" s="84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47"/>
      <c r="B654" s="47"/>
      <c r="C654" s="47"/>
      <c r="D654" s="47"/>
      <c r="E654" s="47"/>
      <c r="F654" s="47"/>
      <c r="G654" s="47"/>
      <c r="H654" s="84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47"/>
      <c r="U654" s="47"/>
      <c r="V654" s="47"/>
      <c r="W654" s="47"/>
      <c r="X654" s="47"/>
      <c r="Y654" s="47"/>
      <c r="Z654" s="47"/>
    </row>
    <row r="655" spans="1:26" ht="12.75" customHeight="1">
      <c r="A655" s="47"/>
      <c r="B655" s="47"/>
      <c r="C655" s="47"/>
      <c r="D655" s="47"/>
      <c r="E655" s="47"/>
      <c r="F655" s="47"/>
      <c r="G655" s="47"/>
      <c r="H655" s="84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47"/>
      <c r="U655" s="47"/>
      <c r="V655" s="47"/>
      <c r="W655" s="47"/>
      <c r="X655" s="47"/>
      <c r="Y655" s="47"/>
      <c r="Z655" s="47"/>
    </row>
    <row r="656" spans="1:26" ht="12.75" customHeight="1">
      <c r="A656" s="47"/>
      <c r="B656" s="47"/>
      <c r="C656" s="47"/>
      <c r="D656" s="47"/>
      <c r="E656" s="47"/>
      <c r="F656" s="47"/>
      <c r="G656" s="47"/>
      <c r="H656" s="84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47"/>
      <c r="B657" s="47"/>
      <c r="C657" s="47"/>
      <c r="D657" s="47"/>
      <c r="E657" s="47"/>
      <c r="F657" s="47"/>
      <c r="G657" s="47"/>
      <c r="H657" s="84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47"/>
      <c r="B658" s="47"/>
      <c r="C658" s="47"/>
      <c r="D658" s="47"/>
      <c r="E658" s="47"/>
      <c r="F658" s="47"/>
      <c r="G658" s="47"/>
      <c r="H658" s="84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47"/>
      <c r="U658" s="47"/>
      <c r="V658" s="47"/>
      <c r="W658" s="47"/>
      <c r="X658" s="47"/>
      <c r="Y658" s="47"/>
      <c r="Z658" s="47"/>
    </row>
    <row r="659" spans="1:26" ht="12.75" customHeight="1">
      <c r="A659" s="47"/>
      <c r="B659" s="47"/>
      <c r="C659" s="47"/>
      <c r="D659" s="47"/>
      <c r="E659" s="47"/>
      <c r="F659" s="47"/>
      <c r="G659" s="47"/>
      <c r="H659" s="84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47"/>
      <c r="U659" s="47"/>
      <c r="V659" s="47"/>
      <c r="W659" s="47"/>
      <c r="X659" s="47"/>
      <c r="Y659" s="47"/>
      <c r="Z659" s="47"/>
    </row>
    <row r="660" spans="1:26" ht="12.75" customHeight="1">
      <c r="A660" s="47"/>
      <c r="B660" s="47"/>
      <c r="C660" s="47"/>
      <c r="D660" s="47"/>
      <c r="E660" s="47"/>
      <c r="F660" s="47"/>
      <c r="G660" s="47"/>
      <c r="H660" s="84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47"/>
      <c r="U660" s="47"/>
      <c r="V660" s="47"/>
      <c r="W660" s="47"/>
      <c r="X660" s="47"/>
      <c r="Y660" s="47"/>
      <c r="Z660" s="47"/>
    </row>
    <row r="661" spans="1:26" ht="12.75" customHeight="1">
      <c r="A661" s="47"/>
      <c r="B661" s="47"/>
      <c r="C661" s="47"/>
      <c r="D661" s="47"/>
      <c r="E661" s="47"/>
      <c r="F661" s="47"/>
      <c r="G661" s="47"/>
      <c r="H661" s="84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47"/>
      <c r="U661" s="47"/>
      <c r="V661" s="47"/>
      <c r="W661" s="47"/>
      <c r="X661" s="47"/>
      <c r="Y661" s="47"/>
      <c r="Z661" s="47"/>
    </row>
    <row r="662" spans="1:26" ht="12.75" customHeight="1">
      <c r="A662" s="47"/>
      <c r="B662" s="47"/>
      <c r="C662" s="47"/>
      <c r="D662" s="47"/>
      <c r="E662" s="47"/>
      <c r="F662" s="47"/>
      <c r="G662" s="47"/>
      <c r="H662" s="84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47"/>
      <c r="U662" s="47"/>
      <c r="V662" s="47"/>
      <c r="W662" s="47"/>
      <c r="X662" s="47"/>
      <c r="Y662" s="47"/>
      <c r="Z662" s="47"/>
    </row>
    <row r="663" spans="1:26" ht="12.75" customHeight="1">
      <c r="A663" s="47"/>
      <c r="B663" s="47"/>
      <c r="C663" s="47"/>
      <c r="D663" s="47"/>
      <c r="E663" s="47"/>
      <c r="F663" s="47"/>
      <c r="G663" s="47"/>
      <c r="H663" s="84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47"/>
      <c r="U663" s="47"/>
      <c r="V663" s="47"/>
      <c r="W663" s="47"/>
      <c r="X663" s="47"/>
      <c r="Y663" s="47"/>
      <c r="Z663" s="47"/>
    </row>
    <row r="664" spans="1:26" ht="12.75" customHeight="1">
      <c r="A664" s="47"/>
      <c r="B664" s="47"/>
      <c r="C664" s="47"/>
      <c r="D664" s="47"/>
      <c r="E664" s="47"/>
      <c r="F664" s="47"/>
      <c r="G664" s="47"/>
      <c r="H664" s="84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47"/>
      <c r="U664" s="47"/>
      <c r="V664" s="47"/>
      <c r="W664" s="47"/>
      <c r="X664" s="47"/>
      <c r="Y664" s="47"/>
      <c r="Z664" s="47"/>
    </row>
    <row r="665" spans="1:26" ht="12.75" customHeight="1">
      <c r="A665" s="47"/>
      <c r="B665" s="47"/>
      <c r="C665" s="47"/>
      <c r="D665" s="47"/>
      <c r="E665" s="47"/>
      <c r="F665" s="47"/>
      <c r="G665" s="47"/>
      <c r="H665" s="84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47"/>
      <c r="U665" s="47"/>
      <c r="V665" s="47"/>
      <c r="W665" s="47"/>
      <c r="X665" s="47"/>
      <c r="Y665" s="47"/>
      <c r="Z665" s="47"/>
    </row>
    <row r="666" spans="1:26" ht="12.75" customHeight="1">
      <c r="A666" s="47"/>
      <c r="B666" s="47"/>
      <c r="C666" s="47"/>
      <c r="D666" s="47"/>
      <c r="E666" s="47"/>
      <c r="F666" s="47"/>
      <c r="G666" s="47"/>
      <c r="H666" s="84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47"/>
      <c r="U666" s="47"/>
      <c r="V666" s="47"/>
      <c r="W666" s="47"/>
      <c r="X666" s="47"/>
      <c r="Y666" s="47"/>
      <c r="Z666" s="47"/>
    </row>
    <row r="667" spans="1:26" ht="12.75" customHeight="1">
      <c r="A667" s="47"/>
      <c r="B667" s="47"/>
      <c r="C667" s="47"/>
      <c r="D667" s="47"/>
      <c r="E667" s="47"/>
      <c r="F667" s="47"/>
      <c r="G667" s="47"/>
      <c r="H667" s="84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47"/>
      <c r="U667" s="47"/>
      <c r="V667" s="47"/>
      <c r="W667" s="47"/>
      <c r="X667" s="47"/>
      <c r="Y667" s="47"/>
      <c r="Z667" s="47"/>
    </row>
    <row r="668" spans="1:26" ht="12.75" customHeight="1">
      <c r="A668" s="47"/>
      <c r="B668" s="47"/>
      <c r="C668" s="47"/>
      <c r="D668" s="47"/>
      <c r="E668" s="47"/>
      <c r="F668" s="47"/>
      <c r="G668" s="47"/>
      <c r="H668" s="84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47"/>
      <c r="U668" s="47"/>
      <c r="V668" s="47"/>
      <c r="W668" s="47"/>
      <c r="X668" s="47"/>
      <c r="Y668" s="47"/>
      <c r="Z668" s="47"/>
    </row>
    <row r="669" spans="1:26" ht="12.75" customHeight="1">
      <c r="A669" s="47"/>
      <c r="B669" s="47"/>
      <c r="C669" s="47"/>
      <c r="D669" s="47"/>
      <c r="E669" s="47"/>
      <c r="F669" s="47"/>
      <c r="G669" s="47"/>
      <c r="H669" s="84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47"/>
      <c r="U669" s="47"/>
      <c r="V669" s="47"/>
      <c r="W669" s="47"/>
      <c r="X669" s="47"/>
      <c r="Y669" s="47"/>
      <c r="Z669" s="47"/>
    </row>
    <row r="670" spans="1:26" ht="12.75" customHeight="1">
      <c r="A670" s="47"/>
      <c r="B670" s="47"/>
      <c r="C670" s="47"/>
      <c r="D670" s="47"/>
      <c r="E670" s="47"/>
      <c r="F670" s="47"/>
      <c r="G670" s="47"/>
      <c r="H670" s="84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47"/>
      <c r="U670" s="47"/>
      <c r="V670" s="47"/>
      <c r="W670" s="47"/>
      <c r="X670" s="47"/>
      <c r="Y670" s="47"/>
      <c r="Z670" s="47"/>
    </row>
    <row r="671" spans="1:26" ht="12.75" customHeight="1">
      <c r="A671" s="47"/>
      <c r="B671" s="47"/>
      <c r="C671" s="47"/>
      <c r="D671" s="47"/>
      <c r="E671" s="47"/>
      <c r="F671" s="47"/>
      <c r="G671" s="47"/>
      <c r="H671" s="84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47"/>
      <c r="U671" s="47"/>
      <c r="V671" s="47"/>
      <c r="W671" s="47"/>
      <c r="X671" s="47"/>
      <c r="Y671" s="47"/>
      <c r="Z671" s="47"/>
    </row>
    <row r="672" spans="1:26" ht="12.75" customHeight="1">
      <c r="A672" s="47"/>
      <c r="B672" s="47"/>
      <c r="C672" s="47"/>
      <c r="D672" s="47"/>
      <c r="E672" s="47"/>
      <c r="F672" s="47"/>
      <c r="G672" s="47"/>
      <c r="H672" s="84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47"/>
      <c r="U672" s="47"/>
      <c r="V672" s="47"/>
      <c r="W672" s="47"/>
      <c r="X672" s="47"/>
      <c r="Y672" s="47"/>
      <c r="Z672" s="47"/>
    </row>
    <row r="673" spans="1:26" ht="12.75" customHeight="1">
      <c r="A673" s="47"/>
      <c r="B673" s="47"/>
      <c r="C673" s="47"/>
      <c r="D673" s="47"/>
      <c r="E673" s="47"/>
      <c r="F673" s="47"/>
      <c r="G673" s="47"/>
      <c r="H673" s="84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47"/>
      <c r="U673" s="47"/>
      <c r="V673" s="47"/>
      <c r="W673" s="47"/>
      <c r="X673" s="47"/>
      <c r="Y673" s="47"/>
      <c r="Z673" s="47"/>
    </row>
    <row r="674" spans="1:26" ht="12.75" customHeight="1">
      <c r="A674" s="47"/>
      <c r="B674" s="47"/>
      <c r="C674" s="47"/>
      <c r="D674" s="47"/>
      <c r="E674" s="47"/>
      <c r="F674" s="47"/>
      <c r="G674" s="47"/>
      <c r="H674" s="84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47"/>
      <c r="U674" s="47"/>
      <c r="V674" s="47"/>
      <c r="W674" s="47"/>
      <c r="X674" s="47"/>
      <c r="Y674" s="47"/>
      <c r="Z674" s="47"/>
    </row>
    <row r="675" spans="1:26" ht="12.75" customHeight="1">
      <c r="A675" s="47"/>
      <c r="B675" s="47"/>
      <c r="C675" s="47"/>
      <c r="D675" s="47"/>
      <c r="E675" s="47"/>
      <c r="F675" s="47"/>
      <c r="G675" s="47"/>
      <c r="H675" s="84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47"/>
      <c r="U675" s="47"/>
      <c r="V675" s="47"/>
      <c r="W675" s="47"/>
      <c r="X675" s="47"/>
      <c r="Y675" s="47"/>
      <c r="Z675" s="47"/>
    </row>
    <row r="676" spans="1:26" ht="12.75" customHeight="1">
      <c r="A676" s="47"/>
      <c r="B676" s="47"/>
      <c r="C676" s="47"/>
      <c r="D676" s="47"/>
      <c r="E676" s="47"/>
      <c r="F676" s="47"/>
      <c r="G676" s="47"/>
      <c r="H676" s="84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47"/>
      <c r="U676" s="47"/>
      <c r="V676" s="47"/>
      <c r="W676" s="47"/>
      <c r="X676" s="47"/>
      <c r="Y676" s="47"/>
      <c r="Z676" s="47"/>
    </row>
    <row r="677" spans="1:26" ht="12.75" customHeight="1">
      <c r="A677" s="47"/>
      <c r="B677" s="47"/>
      <c r="C677" s="47"/>
      <c r="D677" s="47"/>
      <c r="E677" s="47"/>
      <c r="F677" s="47"/>
      <c r="G677" s="47"/>
      <c r="H677" s="84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47"/>
      <c r="U677" s="47"/>
      <c r="V677" s="47"/>
      <c r="W677" s="47"/>
      <c r="X677" s="47"/>
      <c r="Y677" s="47"/>
      <c r="Z677" s="47"/>
    </row>
    <row r="678" spans="1:26" ht="12.75" customHeight="1">
      <c r="A678" s="47"/>
      <c r="B678" s="47"/>
      <c r="C678" s="47"/>
      <c r="D678" s="47"/>
      <c r="E678" s="47"/>
      <c r="F678" s="47"/>
      <c r="G678" s="47"/>
      <c r="H678" s="84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47"/>
      <c r="U678" s="47"/>
      <c r="V678" s="47"/>
      <c r="W678" s="47"/>
      <c r="X678" s="47"/>
      <c r="Y678" s="47"/>
      <c r="Z678" s="47"/>
    </row>
    <row r="679" spans="1:26" ht="12.75" customHeight="1">
      <c r="A679" s="47"/>
      <c r="B679" s="47"/>
      <c r="C679" s="47"/>
      <c r="D679" s="47"/>
      <c r="E679" s="47"/>
      <c r="F679" s="47"/>
      <c r="G679" s="47"/>
      <c r="H679" s="84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47"/>
      <c r="U679" s="47"/>
      <c r="V679" s="47"/>
      <c r="W679" s="47"/>
      <c r="X679" s="47"/>
      <c r="Y679" s="47"/>
      <c r="Z679" s="47"/>
    </row>
    <row r="680" spans="1:26" ht="12.75" customHeight="1">
      <c r="A680" s="47"/>
      <c r="B680" s="47"/>
      <c r="C680" s="47"/>
      <c r="D680" s="47"/>
      <c r="E680" s="47"/>
      <c r="F680" s="47"/>
      <c r="G680" s="47"/>
      <c r="H680" s="84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47"/>
      <c r="U680" s="47"/>
      <c r="V680" s="47"/>
      <c r="W680" s="47"/>
      <c r="X680" s="47"/>
      <c r="Y680" s="47"/>
      <c r="Z680" s="47"/>
    </row>
    <row r="681" spans="1:26" ht="12.75" customHeight="1">
      <c r="A681" s="47"/>
      <c r="B681" s="47"/>
      <c r="C681" s="47"/>
      <c r="D681" s="47"/>
      <c r="E681" s="47"/>
      <c r="F681" s="47"/>
      <c r="G681" s="47"/>
      <c r="H681" s="84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47"/>
      <c r="U681" s="47"/>
      <c r="V681" s="47"/>
      <c r="W681" s="47"/>
      <c r="X681" s="47"/>
      <c r="Y681" s="47"/>
      <c r="Z681" s="47"/>
    </row>
    <row r="682" spans="1:26" ht="12.75" customHeight="1">
      <c r="A682" s="47"/>
      <c r="B682" s="47"/>
      <c r="C682" s="47"/>
      <c r="D682" s="47"/>
      <c r="E682" s="47"/>
      <c r="F682" s="47"/>
      <c r="G682" s="47"/>
      <c r="H682" s="84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47"/>
      <c r="U682" s="47"/>
      <c r="V682" s="47"/>
      <c r="W682" s="47"/>
      <c r="X682" s="47"/>
      <c r="Y682" s="47"/>
      <c r="Z682" s="47"/>
    </row>
    <row r="683" spans="1:26" ht="12.75" customHeight="1">
      <c r="A683" s="47"/>
      <c r="B683" s="47"/>
      <c r="C683" s="47"/>
      <c r="D683" s="47"/>
      <c r="E683" s="47"/>
      <c r="F683" s="47"/>
      <c r="G683" s="47"/>
      <c r="H683" s="84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47"/>
      <c r="U683" s="47"/>
      <c r="V683" s="47"/>
      <c r="W683" s="47"/>
      <c r="X683" s="47"/>
      <c r="Y683" s="47"/>
      <c r="Z683" s="47"/>
    </row>
    <row r="684" spans="1:26" ht="12.75" customHeight="1">
      <c r="A684" s="47"/>
      <c r="B684" s="47"/>
      <c r="C684" s="47"/>
      <c r="D684" s="47"/>
      <c r="E684" s="47"/>
      <c r="F684" s="47"/>
      <c r="G684" s="47"/>
      <c r="H684" s="84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47"/>
      <c r="U684" s="47"/>
      <c r="V684" s="47"/>
      <c r="W684" s="47"/>
      <c r="X684" s="47"/>
      <c r="Y684" s="47"/>
      <c r="Z684" s="47"/>
    </row>
    <row r="685" spans="1:26" ht="12.75" customHeight="1">
      <c r="A685" s="47"/>
      <c r="B685" s="47"/>
      <c r="C685" s="47"/>
      <c r="D685" s="47"/>
      <c r="E685" s="47"/>
      <c r="F685" s="47"/>
      <c r="G685" s="47"/>
      <c r="H685" s="84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47"/>
      <c r="U685" s="47"/>
      <c r="V685" s="47"/>
      <c r="W685" s="47"/>
      <c r="X685" s="47"/>
      <c r="Y685" s="47"/>
      <c r="Z685" s="47"/>
    </row>
    <row r="686" spans="1:26" ht="12.75" customHeight="1">
      <c r="A686" s="47"/>
      <c r="B686" s="47"/>
      <c r="C686" s="47"/>
      <c r="D686" s="47"/>
      <c r="E686" s="47"/>
      <c r="F686" s="47"/>
      <c r="G686" s="47"/>
      <c r="H686" s="84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47"/>
      <c r="U686" s="47"/>
      <c r="V686" s="47"/>
      <c r="W686" s="47"/>
      <c r="X686" s="47"/>
      <c r="Y686" s="47"/>
      <c r="Z686" s="47"/>
    </row>
    <row r="687" spans="1:26" ht="12.75" customHeight="1">
      <c r="A687" s="47"/>
      <c r="B687" s="47"/>
      <c r="C687" s="47"/>
      <c r="D687" s="47"/>
      <c r="E687" s="47"/>
      <c r="F687" s="47"/>
      <c r="G687" s="47"/>
      <c r="H687" s="84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47"/>
      <c r="U687" s="47"/>
      <c r="V687" s="47"/>
      <c r="W687" s="47"/>
      <c r="X687" s="47"/>
      <c r="Y687" s="47"/>
      <c r="Z687" s="47"/>
    </row>
    <row r="688" spans="1:26" ht="12.75" customHeight="1">
      <c r="A688" s="47"/>
      <c r="B688" s="47"/>
      <c r="C688" s="47"/>
      <c r="D688" s="47"/>
      <c r="E688" s="47"/>
      <c r="F688" s="47"/>
      <c r="G688" s="47"/>
      <c r="H688" s="84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47"/>
      <c r="U688" s="47"/>
      <c r="V688" s="47"/>
      <c r="W688" s="47"/>
      <c r="X688" s="47"/>
      <c r="Y688" s="47"/>
      <c r="Z688" s="47"/>
    </row>
    <row r="689" spans="1:26" ht="12.75" customHeight="1">
      <c r="A689" s="47"/>
      <c r="B689" s="47"/>
      <c r="C689" s="47"/>
      <c r="D689" s="47"/>
      <c r="E689" s="47"/>
      <c r="F689" s="47"/>
      <c r="G689" s="47"/>
      <c r="H689" s="84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47"/>
      <c r="U689" s="47"/>
      <c r="V689" s="47"/>
      <c r="W689" s="47"/>
      <c r="X689" s="47"/>
      <c r="Y689" s="47"/>
      <c r="Z689" s="47"/>
    </row>
    <row r="690" spans="1:26" ht="12.75" customHeight="1">
      <c r="A690" s="47"/>
      <c r="B690" s="47"/>
      <c r="C690" s="47"/>
      <c r="D690" s="47"/>
      <c r="E690" s="47"/>
      <c r="F690" s="47"/>
      <c r="G690" s="47"/>
      <c r="H690" s="84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47"/>
      <c r="U690" s="47"/>
      <c r="V690" s="47"/>
      <c r="W690" s="47"/>
      <c r="X690" s="47"/>
      <c r="Y690" s="47"/>
      <c r="Z690" s="47"/>
    </row>
    <row r="691" spans="1:26" ht="12.75" customHeight="1">
      <c r="A691" s="47"/>
      <c r="B691" s="47"/>
      <c r="C691" s="47"/>
      <c r="D691" s="47"/>
      <c r="E691" s="47"/>
      <c r="F691" s="47"/>
      <c r="G691" s="47"/>
      <c r="H691" s="84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47"/>
      <c r="U691" s="47"/>
      <c r="V691" s="47"/>
      <c r="W691" s="47"/>
      <c r="X691" s="47"/>
      <c r="Y691" s="47"/>
      <c r="Z691" s="47"/>
    </row>
    <row r="692" spans="1:26" ht="12.75" customHeight="1">
      <c r="A692" s="47"/>
      <c r="B692" s="47"/>
      <c r="C692" s="47"/>
      <c r="D692" s="47"/>
      <c r="E692" s="47"/>
      <c r="F692" s="47"/>
      <c r="G692" s="47"/>
      <c r="H692" s="84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47"/>
      <c r="U692" s="47"/>
      <c r="V692" s="47"/>
      <c r="W692" s="47"/>
      <c r="X692" s="47"/>
      <c r="Y692" s="47"/>
      <c r="Z692" s="47"/>
    </row>
    <row r="693" spans="1:26" ht="12.75" customHeight="1">
      <c r="A693" s="47"/>
      <c r="B693" s="47"/>
      <c r="C693" s="47"/>
      <c r="D693" s="47"/>
      <c r="E693" s="47"/>
      <c r="F693" s="47"/>
      <c r="G693" s="47"/>
      <c r="H693" s="84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47"/>
      <c r="U693" s="47"/>
      <c r="V693" s="47"/>
      <c r="W693" s="47"/>
      <c r="X693" s="47"/>
      <c r="Y693" s="47"/>
      <c r="Z693" s="47"/>
    </row>
    <row r="694" spans="1:26" ht="12.75" customHeight="1">
      <c r="A694" s="47"/>
      <c r="B694" s="47"/>
      <c r="C694" s="47"/>
      <c r="D694" s="47"/>
      <c r="E694" s="47"/>
      <c r="F694" s="47"/>
      <c r="G694" s="47"/>
      <c r="H694" s="84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47"/>
      <c r="U694" s="47"/>
      <c r="V694" s="47"/>
      <c r="W694" s="47"/>
      <c r="X694" s="47"/>
      <c r="Y694" s="47"/>
      <c r="Z694" s="47"/>
    </row>
    <row r="695" spans="1:26" ht="12.75" customHeight="1">
      <c r="A695" s="47"/>
      <c r="B695" s="47"/>
      <c r="C695" s="47"/>
      <c r="D695" s="47"/>
      <c r="E695" s="47"/>
      <c r="F695" s="47"/>
      <c r="G695" s="47"/>
      <c r="H695" s="84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47"/>
      <c r="U695" s="47"/>
      <c r="V695" s="47"/>
      <c r="W695" s="47"/>
      <c r="X695" s="47"/>
      <c r="Y695" s="47"/>
      <c r="Z695" s="47"/>
    </row>
    <row r="696" spans="1:26" ht="12.75" customHeight="1">
      <c r="A696" s="47"/>
      <c r="B696" s="47"/>
      <c r="C696" s="47"/>
      <c r="D696" s="47"/>
      <c r="E696" s="47"/>
      <c r="F696" s="47"/>
      <c r="G696" s="47"/>
      <c r="H696" s="84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47"/>
      <c r="U696" s="47"/>
      <c r="V696" s="47"/>
      <c r="W696" s="47"/>
      <c r="X696" s="47"/>
      <c r="Y696" s="47"/>
      <c r="Z696" s="47"/>
    </row>
    <row r="697" spans="1:26" ht="12.75" customHeight="1">
      <c r="A697" s="47"/>
      <c r="B697" s="47"/>
      <c r="C697" s="47"/>
      <c r="D697" s="47"/>
      <c r="E697" s="47"/>
      <c r="F697" s="47"/>
      <c r="G697" s="47"/>
      <c r="H697" s="84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47"/>
      <c r="U697" s="47"/>
      <c r="V697" s="47"/>
      <c r="W697" s="47"/>
      <c r="X697" s="47"/>
      <c r="Y697" s="47"/>
      <c r="Z697" s="47"/>
    </row>
    <row r="698" spans="1:26" ht="12.75" customHeight="1">
      <c r="A698" s="47"/>
      <c r="B698" s="47"/>
      <c r="C698" s="47"/>
      <c r="D698" s="47"/>
      <c r="E698" s="47"/>
      <c r="F698" s="47"/>
      <c r="G698" s="47"/>
      <c r="H698" s="84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47"/>
      <c r="U698" s="47"/>
      <c r="V698" s="47"/>
      <c r="W698" s="47"/>
      <c r="X698" s="47"/>
      <c r="Y698" s="47"/>
      <c r="Z698" s="47"/>
    </row>
    <row r="699" spans="1:26" ht="12.75" customHeight="1">
      <c r="A699" s="47"/>
      <c r="B699" s="47"/>
      <c r="C699" s="47"/>
      <c r="D699" s="47"/>
      <c r="E699" s="47"/>
      <c r="F699" s="47"/>
      <c r="G699" s="47"/>
      <c r="H699" s="84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47"/>
      <c r="U699" s="47"/>
      <c r="V699" s="47"/>
      <c r="W699" s="47"/>
      <c r="X699" s="47"/>
      <c r="Y699" s="47"/>
      <c r="Z699" s="47"/>
    </row>
    <row r="700" spans="1:26" ht="12.75" customHeight="1">
      <c r="A700" s="47"/>
      <c r="B700" s="47"/>
      <c r="C700" s="47"/>
      <c r="D700" s="47"/>
      <c r="E700" s="47"/>
      <c r="F700" s="47"/>
      <c r="G700" s="47"/>
      <c r="H700" s="84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47"/>
      <c r="U700" s="47"/>
      <c r="V700" s="47"/>
      <c r="W700" s="47"/>
      <c r="X700" s="47"/>
      <c r="Y700" s="47"/>
      <c r="Z700" s="47"/>
    </row>
    <row r="701" spans="1:26" ht="12.75" customHeight="1">
      <c r="A701" s="47"/>
      <c r="B701" s="47"/>
      <c r="C701" s="47"/>
      <c r="D701" s="47"/>
      <c r="E701" s="47"/>
      <c r="F701" s="47"/>
      <c r="G701" s="47"/>
      <c r="H701" s="84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47"/>
      <c r="U701" s="47"/>
      <c r="V701" s="47"/>
      <c r="W701" s="47"/>
      <c r="X701" s="47"/>
      <c r="Y701" s="47"/>
      <c r="Z701" s="47"/>
    </row>
    <row r="702" spans="1:26" ht="12.75" customHeight="1">
      <c r="A702" s="47"/>
      <c r="B702" s="47"/>
      <c r="C702" s="47"/>
      <c r="D702" s="47"/>
      <c r="E702" s="47"/>
      <c r="F702" s="47"/>
      <c r="G702" s="47"/>
      <c r="H702" s="84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47"/>
      <c r="U702" s="47"/>
      <c r="V702" s="47"/>
      <c r="W702" s="47"/>
      <c r="X702" s="47"/>
      <c r="Y702" s="47"/>
      <c r="Z702" s="47"/>
    </row>
    <row r="703" spans="1:26" ht="12.75" customHeight="1">
      <c r="A703" s="47"/>
      <c r="B703" s="47"/>
      <c r="C703" s="47"/>
      <c r="D703" s="47"/>
      <c r="E703" s="47"/>
      <c r="F703" s="47"/>
      <c r="G703" s="47"/>
      <c r="H703" s="84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47"/>
      <c r="U703" s="47"/>
      <c r="V703" s="47"/>
      <c r="W703" s="47"/>
      <c r="X703" s="47"/>
      <c r="Y703" s="47"/>
      <c r="Z703" s="47"/>
    </row>
    <row r="704" spans="1:26" ht="12.75" customHeight="1">
      <c r="A704" s="47"/>
      <c r="B704" s="47"/>
      <c r="C704" s="47"/>
      <c r="D704" s="47"/>
      <c r="E704" s="47"/>
      <c r="F704" s="47"/>
      <c r="G704" s="47"/>
      <c r="H704" s="84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47"/>
      <c r="U704" s="47"/>
      <c r="V704" s="47"/>
      <c r="W704" s="47"/>
      <c r="X704" s="47"/>
      <c r="Y704" s="47"/>
      <c r="Z704" s="47"/>
    </row>
    <row r="705" spans="1:26" ht="12.75" customHeight="1">
      <c r="A705" s="47"/>
      <c r="B705" s="47"/>
      <c r="C705" s="47"/>
      <c r="D705" s="47"/>
      <c r="E705" s="47"/>
      <c r="F705" s="47"/>
      <c r="G705" s="47"/>
      <c r="H705" s="84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47"/>
      <c r="U705" s="47"/>
      <c r="V705" s="47"/>
      <c r="W705" s="47"/>
      <c r="X705" s="47"/>
      <c r="Y705" s="47"/>
      <c r="Z705" s="47"/>
    </row>
    <row r="706" spans="1:26" ht="12.75" customHeight="1">
      <c r="A706" s="47"/>
      <c r="B706" s="47"/>
      <c r="C706" s="47"/>
      <c r="D706" s="47"/>
      <c r="E706" s="47"/>
      <c r="F706" s="47"/>
      <c r="G706" s="47"/>
      <c r="H706" s="84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47"/>
      <c r="U706" s="47"/>
      <c r="V706" s="47"/>
      <c r="W706" s="47"/>
      <c r="X706" s="47"/>
      <c r="Y706" s="47"/>
      <c r="Z706" s="47"/>
    </row>
    <row r="707" spans="1:26" ht="12.75" customHeight="1">
      <c r="A707" s="47"/>
      <c r="B707" s="47"/>
      <c r="C707" s="47"/>
      <c r="D707" s="47"/>
      <c r="E707" s="47"/>
      <c r="F707" s="47"/>
      <c r="G707" s="47"/>
      <c r="H707" s="84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47"/>
      <c r="U707" s="47"/>
      <c r="V707" s="47"/>
      <c r="W707" s="47"/>
      <c r="X707" s="47"/>
      <c r="Y707" s="47"/>
      <c r="Z707" s="47"/>
    </row>
    <row r="708" spans="1:26" ht="12.75" customHeight="1">
      <c r="A708" s="47"/>
      <c r="B708" s="47"/>
      <c r="C708" s="47"/>
      <c r="D708" s="47"/>
      <c r="E708" s="47"/>
      <c r="F708" s="47"/>
      <c r="G708" s="47"/>
      <c r="H708" s="84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47"/>
      <c r="U708" s="47"/>
      <c r="V708" s="47"/>
      <c r="W708" s="47"/>
      <c r="X708" s="47"/>
      <c r="Y708" s="47"/>
      <c r="Z708" s="47"/>
    </row>
    <row r="709" spans="1:26" ht="12.75" customHeight="1">
      <c r="A709" s="47"/>
      <c r="B709" s="47"/>
      <c r="C709" s="47"/>
      <c r="D709" s="47"/>
      <c r="E709" s="47"/>
      <c r="F709" s="47"/>
      <c r="G709" s="47"/>
      <c r="H709" s="84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47"/>
      <c r="U709" s="47"/>
      <c r="V709" s="47"/>
      <c r="W709" s="47"/>
      <c r="X709" s="47"/>
      <c r="Y709" s="47"/>
      <c r="Z709" s="47"/>
    </row>
    <row r="710" spans="1:26" ht="12.75" customHeight="1">
      <c r="A710" s="47"/>
      <c r="B710" s="47"/>
      <c r="C710" s="47"/>
      <c r="D710" s="47"/>
      <c r="E710" s="47"/>
      <c r="F710" s="47"/>
      <c r="G710" s="47"/>
      <c r="H710" s="84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47"/>
      <c r="U710" s="47"/>
      <c r="V710" s="47"/>
      <c r="W710" s="47"/>
      <c r="X710" s="47"/>
      <c r="Y710" s="47"/>
      <c r="Z710" s="47"/>
    </row>
    <row r="711" spans="1:26" ht="12.75" customHeight="1">
      <c r="A711" s="47"/>
      <c r="B711" s="47"/>
      <c r="C711" s="47"/>
      <c r="D711" s="47"/>
      <c r="E711" s="47"/>
      <c r="F711" s="47"/>
      <c r="G711" s="47"/>
      <c r="H711" s="84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47"/>
      <c r="U711" s="47"/>
      <c r="V711" s="47"/>
      <c r="W711" s="47"/>
      <c r="X711" s="47"/>
      <c r="Y711" s="47"/>
      <c r="Z711" s="47"/>
    </row>
    <row r="712" spans="1:26" ht="12.75" customHeight="1">
      <c r="A712" s="47"/>
      <c r="B712" s="47"/>
      <c r="C712" s="47"/>
      <c r="D712" s="47"/>
      <c r="E712" s="47"/>
      <c r="F712" s="47"/>
      <c r="G712" s="47"/>
      <c r="H712" s="84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47"/>
      <c r="U712" s="47"/>
      <c r="V712" s="47"/>
      <c r="W712" s="47"/>
      <c r="X712" s="47"/>
      <c r="Y712" s="47"/>
      <c r="Z712" s="47"/>
    </row>
    <row r="713" spans="1:26" ht="12.75" customHeight="1">
      <c r="A713" s="47"/>
      <c r="B713" s="47"/>
      <c r="C713" s="47"/>
      <c r="D713" s="47"/>
      <c r="E713" s="47"/>
      <c r="F713" s="47"/>
      <c r="G713" s="47"/>
      <c r="H713" s="84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47"/>
      <c r="U713" s="47"/>
      <c r="V713" s="47"/>
      <c r="W713" s="47"/>
      <c r="X713" s="47"/>
      <c r="Y713" s="47"/>
      <c r="Z713" s="47"/>
    </row>
    <row r="714" spans="1:26" ht="12.75" customHeight="1">
      <c r="A714" s="47"/>
      <c r="B714" s="47"/>
      <c r="C714" s="47"/>
      <c r="D714" s="47"/>
      <c r="E714" s="47"/>
      <c r="F714" s="47"/>
      <c r="G714" s="47"/>
      <c r="H714" s="84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47"/>
      <c r="U714" s="47"/>
      <c r="V714" s="47"/>
      <c r="W714" s="47"/>
      <c r="X714" s="47"/>
      <c r="Y714" s="47"/>
      <c r="Z714" s="47"/>
    </row>
    <row r="715" spans="1:26" ht="12.75" customHeight="1">
      <c r="A715" s="47"/>
      <c r="B715" s="47"/>
      <c r="C715" s="47"/>
      <c r="D715" s="47"/>
      <c r="E715" s="47"/>
      <c r="F715" s="47"/>
      <c r="G715" s="47"/>
      <c r="H715" s="84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47"/>
      <c r="U715" s="47"/>
      <c r="V715" s="47"/>
      <c r="W715" s="47"/>
      <c r="X715" s="47"/>
      <c r="Y715" s="47"/>
      <c r="Z715" s="47"/>
    </row>
    <row r="716" spans="1:26" ht="12.75" customHeight="1">
      <c r="A716" s="47"/>
      <c r="B716" s="47"/>
      <c r="C716" s="47"/>
      <c r="D716" s="47"/>
      <c r="E716" s="47"/>
      <c r="F716" s="47"/>
      <c r="G716" s="47"/>
      <c r="H716" s="84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47"/>
      <c r="U716" s="47"/>
      <c r="V716" s="47"/>
      <c r="W716" s="47"/>
      <c r="X716" s="47"/>
      <c r="Y716" s="47"/>
      <c r="Z716" s="47"/>
    </row>
    <row r="717" spans="1:26" ht="12.75" customHeight="1">
      <c r="A717" s="47"/>
      <c r="B717" s="47"/>
      <c r="C717" s="47"/>
      <c r="D717" s="47"/>
      <c r="E717" s="47"/>
      <c r="F717" s="47"/>
      <c r="G717" s="47"/>
      <c r="H717" s="84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47"/>
      <c r="U717" s="47"/>
      <c r="V717" s="47"/>
      <c r="W717" s="47"/>
      <c r="X717" s="47"/>
      <c r="Y717" s="47"/>
      <c r="Z717" s="47"/>
    </row>
    <row r="718" spans="1:26" ht="12.75" customHeight="1">
      <c r="A718" s="47"/>
      <c r="B718" s="47"/>
      <c r="C718" s="47"/>
      <c r="D718" s="47"/>
      <c r="E718" s="47"/>
      <c r="F718" s="47"/>
      <c r="G718" s="47"/>
      <c r="H718" s="84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47"/>
      <c r="U718" s="47"/>
      <c r="V718" s="47"/>
      <c r="W718" s="47"/>
      <c r="X718" s="47"/>
      <c r="Y718" s="47"/>
      <c r="Z718" s="47"/>
    </row>
    <row r="719" spans="1:26" ht="12.75" customHeight="1">
      <c r="A719" s="47"/>
      <c r="B719" s="47"/>
      <c r="C719" s="47"/>
      <c r="D719" s="47"/>
      <c r="E719" s="47"/>
      <c r="F719" s="47"/>
      <c r="G719" s="47"/>
      <c r="H719" s="84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47"/>
      <c r="U719" s="47"/>
      <c r="V719" s="47"/>
      <c r="W719" s="47"/>
      <c r="X719" s="47"/>
      <c r="Y719" s="47"/>
      <c r="Z719" s="47"/>
    </row>
    <row r="720" spans="1:26" ht="12.75" customHeight="1">
      <c r="A720" s="47"/>
      <c r="B720" s="47"/>
      <c r="C720" s="47"/>
      <c r="D720" s="47"/>
      <c r="E720" s="47"/>
      <c r="F720" s="47"/>
      <c r="G720" s="47"/>
      <c r="H720" s="84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47"/>
      <c r="U720" s="47"/>
      <c r="V720" s="47"/>
      <c r="W720" s="47"/>
      <c r="X720" s="47"/>
      <c r="Y720" s="47"/>
      <c r="Z720" s="47"/>
    </row>
    <row r="721" spans="1:26" ht="12.75" customHeight="1">
      <c r="A721" s="47"/>
      <c r="B721" s="47"/>
      <c r="C721" s="47"/>
      <c r="D721" s="47"/>
      <c r="E721" s="47"/>
      <c r="F721" s="47"/>
      <c r="G721" s="47"/>
      <c r="H721" s="84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47"/>
      <c r="U721" s="47"/>
      <c r="V721" s="47"/>
      <c r="W721" s="47"/>
      <c r="X721" s="47"/>
      <c r="Y721" s="47"/>
      <c r="Z721" s="47"/>
    </row>
    <row r="722" spans="1:26" ht="12.75" customHeight="1">
      <c r="A722" s="47"/>
      <c r="B722" s="47"/>
      <c r="C722" s="47"/>
      <c r="D722" s="47"/>
      <c r="E722" s="47"/>
      <c r="F722" s="47"/>
      <c r="G722" s="47"/>
      <c r="H722" s="84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47"/>
      <c r="U722" s="47"/>
      <c r="V722" s="47"/>
      <c r="W722" s="47"/>
      <c r="X722" s="47"/>
      <c r="Y722" s="47"/>
      <c r="Z722" s="47"/>
    </row>
    <row r="723" spans="1:26" ht="12.75" customHeight="1">
      <c r="A723" s="47"/>
      <c r="B723" s="47"/>
      <c r="C723" s="47"/>
      <c r="D723" s="47"/>
      <c r="E723" s="47"/>
      <c r="F723" s="47"/>
      <c r="G723" s="47"/>
      <c r="H723" s="84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47"/>
      <c r="U723" s="47"/>
      <c r="V723" s="47"/>
      <c r="W723" s="47"/>
      <c r="X723" s="47"/>
      <c r="Y723" s="47"/>
      <c r="Z723" s="47"/>
    </row>
    <row r="724" spans="1:26" ht="12.75" customHeight="1">
      <c r="A724" s="47"/>
      <c r="B724" s="47"/>
      <c r="C724" s="47"/>
      <c r="D724" s="47"/>
      <c r="E724" s="47"/>
      <c r="F724" s="47"/>
      <c r="G724" s="47"/>
      <c r="H724" s="84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47"/>
      <c r="U724" s="47"/>
      <c r="V724" s="47"/>
      <c r="W724" s="47"/>
      <c r="X724" s="47"/>
      <c r="Y724" s="47"/>
      <c r="Z724" s="47"/>
    </row>
    <row r="725" spans="1:26" ht="12.75" customHeight="1">
      <c r="A725" s="47"/>
      <c r="B725" s="47"/>
      <c r="C725" s="47"/>
      <c r="D725" s="47"/>
      <c r="E725" s="47"/>
      <c r="F725" s="47"/>
      <c r="G725" s="47"/>
      <c r="H725" s="84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47"/>
      <c r="U725" s="47"/>
      <c r="V725" s="47"/>
      <c r="W725" s="47"/>
      <c r="X725" s="47"/>
      <c r="Y725" s="47"/>
      <c r="Z725" s="47"/>
    </row>
    <row r="726" spans="1:26" ht="12.75" customHeight="1">
      <c r="A726" s="47"/>
      <c r="B726" s="47"/>
      <c r="C726" s="47"/>
      <c r="D726" s="47"/>
      <c r="E726" s="47"/>
      <c r="F726" s="47"/>
      <c r="G726" s="47"/>
      <c r="H726" s="84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47"/>
      <c r="U726" s="47"/>
      <c r="V726" s="47"/>
      <c r="W726" s="47"/>
      <c r="X726" s="47"/>
      <c r="Y726" s="47"/>
      <c r="Z726" s="47"/>
    </row>
    <row r="727" spans="1:26" ht="12.75" customHeight="1">
      <c r="A727" s="47"/>
      <c r="B727" s="47"/>
      <c r="C727" s="47"/>
      <c r="D727" s="47"/>
      <c r="E727" s="47"/>
      <c r="F727" s="47"/>
      <c r="G727" s="47"/>
      <c r="H727" s="84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47"/>
      <c r="U727" s="47"/>
      <c r="V727" s="47"/>
      <c r="W727" s="47"/>
      <c r="X727" s="47"/>
      <c r="Y727" s="47"/>
      <c r="Z727" s="47"/>
    </row>
    <row r="728" spans="1:26" ht="12.75" customHeight="1">
      <c r="A728" s="47"/>
      <c r="B728" s="47"/>
      <c r="C728" s="47"/>
      <c r="D728" s="47"/>
      <c r="E728" s="47"/>
      <c r="F728" s="47"/>
      <c r="G728" s="47"/>
      <c r="H728" s="84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47"/>
      <c r="U728" s="47"/>
      <c r="V728" s="47"/>
      <c r="W728" s="47"/>
      <c r="X728" s="47"/>
      <c r="Y728" s="47"/>
      <c r="Z728" s="47"/>
    </row>
    <row r="729" spans="1:26" ht="12.75" customHeight="1">
      <c r="A729" s="47"/>
      <c r="B729" s="47"/>
      <c r="C729" s="47"/>
      <c r="D729" s="47"/>
      <c r="E729" s="47"/>
      <c r="F729" s="47"/>
      <c r="G729" s="47"/>
      <c r="H729" s="84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47"/>
      <c r="U729" s="47"/>
      <c r="V729" s="47"/>
      <c r="W729" s="47"/>
      <c r="X729" s="47"/>
      <c r="Y729" s="47"/>
      <c r="Z729" s="47"/>
    </row>
    <row r="730" spans="1:26" ht="12.75" customHeight="1">
      <c r="A730" s="47"/>
      <c r="B730" s="47"/>
      <c r="C730" s="47"/>
      <c r="D730" s="47"/>
      <c r="E730" s="47"/>
      <c r="F730" s="47"/>
      <c r="G730" s="47"/>
      <c r="H730" s="84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47"/>
      <c r="U730" s="47"/>
      <c r="V730" s="47"/>
      <c r="W730" s="47"/>
      <c r="X730" s="47"/>
      <c r="Y730" s="47"/>
      <c r="Z730" s="47"/>
    </row>
    <row r="731" spans="1:26" ht="12.75" customHeight="1">
      <c r="A731" s="47"/>
      <c r="B731" s="47"/>
      <c r="C731" s="47"/>
      <c r="D731" s="47"/>
      <c r="E731" s="47"/>
      <c r="F731" s="47"/>
      <c r="G731" s="47"/>
      <c r="H731" s="84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47"/>
      <c r="U731" s="47"/>
      <c r="V731" s="47"/>
      <c r="W731" s="47"/>
      <c r="X731" s="47"/>
      <c r="Y731" s="47"/>
      <c r="Z731" s="47"/>
    </row>
    <row r="732" spans="1:26" ht="12.75" customHeight="1">
      <c r="A732" s="47"/>
      <c r="B732" s="47"/>
      <c r="C732" s="47"/>
      <c r="D732" s="47"/>
      <c r="E732" s="47"/>
      <c r="F732" s="47"/>
      <c r="G732" s="47"/>
      <c r="H732" s="84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47"/>
      <c r="U732" s="47"/>
      <c r="V732" s="47"/>
      <c r="W732" s="47"/>
      <c r="X732" s="47"/>
      <c r="Y732" s="47"/>
      <c r="Z732" s="47"/>
    </row>
    <row r="733" spans="1:26" ht="12.75" customHeight="1">
      <c r="A733" s="47"/>
      <c r="B733" s="47"/>
      <c r="C733" s="47"/>
      <c r="D733" s="47"/>
      <c r="E733" s="47"/>
      <c r="F733" s="47"/>
      <c r="G733" s="47"/>
      <c r="H733" s="84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47"/>
      <c r="U733" s="47"/>
      <c r="V733" s="47"/>
      <c r="W733" s="47"/>
      <c r="X733" s="47"/>
      <c r="Y733" s="47"/>
      <c r="Z733" s="47"/>
    </row>
    <row r="734" spans="1:26" ht="12.75" customHeight="1">
      <c r="A734" s="47"/>
      <c r="B734" s="47"/>
      <c r="C734" s="47"/>
      <c r="D734" s="47"/>
      <c r="E734" s="47"/>
      <c r="F734" s="47"/>
      <c r="G734" s="47"/>
      <c r="H734" s="84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47"/>
      <c r="U734" s="47"/>
      <c r="V734" s="47"/>
      <c r="W734" s="47"/>
      <c r="X734" s="47"/>
      <c r="Y734" s="47"/>
      <c r="Z734" s="47"/>
    </row>
    <row r="735" spans="1:26" ht="12.75" customHeight="1">
      <c r="A735" s="47"/>
      <c r="B735" s="47"/>
      <c r="C735" s="47"/>
      <c r="D735" s="47"/>
      <c r="E735" s="47"/>
      <c r="F735" s="47"/>
      <c r="G735" s="47"/>
      <c r="H735" s="84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47"/>
      <c r="U735" s="47"/>
      <c r="V735" s="47"/>
      <c r="W735" s="47"/>
      <c r="X735" s="47"/>
      <c r="Y735" s="47"/>
      <c r="Z735" s="47"/>
    </row>
    <row r="736" spans="1:26" ht="12.75" customHeight="1">
      <c r="A736" s="47"/>
      <c r="B736" s="47"/>
      <c r="C736" s="47"/>
      <c r="D736" s="47"/>
      <c r="E736" s="47"/>
      <c r="F736" s="47"/>
      <c r="G736" s="47"/>
      <c r="H736" s="84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47"/>
      <c r="U736" s="47"/>
      <c r="V736" s="47"/>
      <c r="W736" s="47"/>
      <c r="X736" s="47"/>
      <c r="Y736" s="47"/>
      <c r="Z736" s="47"/>
    </row>
    <row r="737" spans="1:26" ht="12.75" customHeight="1">
      <c r="A737" s="47"/>
      <c r="B737" s="47"/>
      <c r="C737" s="47"/>
      <c r="D737" s="47"/>
      <c r="E737" s="47"/>
      <c r="F737" s="47"/>
      <c r="G737" s="47"/>
      <c r="H737" s="84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47"/>
      <c r="U737" s="47"/>
      <c r="V737" s="47"/>
      <c r="W737" s="47"/>
      <c r="X737" s="47"/>
      <c r="Y737" s="47"/>
      <c r="Z737" s="47"/>
    </row>
    <row r="738" spans="1:26" ht="12.75" customHeight="1">
      <c r="A738" s="47"/>
      <c r="B738" s="47"/>
      <c r="C738" s="47"/>
      <c r="D738" s="47"/>
      <c r="E738" s="47"/>
      <c r="F738" s="47"/>
      <c r="G738" s="47"/>
      <c r="H738" s="84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47"/>
      <c r="U738" s="47"/>
      <c r="V738" s="47"/>
      <c r="W738" s="47"/>
      <c r="X738" s="47"/>
      <c r="Y738" s="47"/>
      <c r="Z738" s="47"/>
    </row>
    <row r="739" spans="1:26" ht="12.75" customHeight="1">
      <c r="A739" s="47"/>
      <c r="B739" s="47"/>
      <c r="C739" s="47"/>
      <c r="D739" s="47"/>
      <c r="E739" s="47"/>
      <c r="F739" s="47"/>
      <c r="G739" s="47"/>
      <c r="H739" s="84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47"/>
      <c r="U739" s="47"/>
      <c r="V739" s="47"/>
      <c r="W739" s="47"/>
      <c r="X739" s="47"/>
      <c r="Y739" s="47"/>
      <c r="Z739" s="47"/>
    </row>
    <row r="740" spans="1:26" ht="12.75" customHeight="1">
      <c r="A740" s="47"/>
      <c r="B740" s="47"/>
      <c r="C740" s="47"/>
      <c r="D740" s="47"/>
      <c r="E740" s="47"/>
      <c r="F740" s="47"/>
      <c r="G740" s="47"/>
      <c r="H740" s="84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47"/>
      <c r="U740" s="47"/>
      <c r="V740" s="47"/>
      <c r="W740" s="47"/>
      <c r="X740" s="47"/>
      <c r="Y740" s="47"/>
      <c r="Z740" s="47"/>
    </row>
    <row r="741" spans="1:26" ht="12.75" customHeight="1">
      <c r="A741" s="47"/>
      <c r="B741" s="47"/>
      <c r="C741" s="47"/>
      <c r="D741" s="47"/>
      <c r="E741" s="47"/>
      <c r="F741" s="47"/>
      <c r="G741" s="47"/>
      <c r="H741" s="84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47"/>
      <c r="U741" s="47"/>
      <c r="V741" s="47"/>
      <c r="W741" s="47"/>
      <c r="X741" s="47"/>
      <c r="Y741" s="47"/>
      <c r="Z741" s="47"/>
    </row>
    <row r="742" spans="1:26" ht="12.75" customHeight="1">
      <c r="A742" s="47"/>
      <c r="B742" s="47"/>
      <c r="C742" s="47"/>
      <c r="D742" s="47"/>
      <c r="E742" s="47"/>
      <c r="F742" s="47"/>
      <c r="G742" s="47"/>
      <c r="H742" s="84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47"/>
      <c r="U742" s="47"/>
      <c r="V742" s="47"/>
      <c r="W742" s="47"/>
      <c r="X742" s="47"/>
      <c r="Y742" s="47"/>
      <c r="Z742" s="47"/>
    </row>
    <row r="743" spans="1:26" ht="12.75" customHeight="1">
      <c r="A743" s="47"/>
      <c r="B743" s="47"/>
      <c r="C743" s="47"/>
      <c r="D743" s="47"/>
      <c r="E743" s="47"/>
      <c r="F743" s="47"/>
      <c r="G743" s="47"/>
      <c r="H743" s="84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47"/>
      <c r="U743" s="47"/>
      <c r="V743" s="47"/>
      <c r="W743" s="47"/>
      <c r="X743" s="47"/>
      <c r="Y743" s="47"/>
      <c r="Z743" s="47"/>
    </row>
    <row r="744" spans="1:26" ht="12.75" customHeight="1">
      <c r="A744" s="47"/>
      <c r="B744" s="47"/>
      <c r="C744" s="47"/>
      <c r="D744" s="47"/>
      <c r="E744" s="47"/>
      <c r="F744" s="47"/>
      <c r="G744" s="47"/>
      <c r="H744" s="84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47"/>
      <c r="U744" s="47"/>
      <c r="V744" s="47"/>
      <c r="W744" s="47"/>
      <c r="X744" s="47"/>
      <c r="Y744" s="47"/>
      <c r="Z744" s="47"/>
    </row>
    <row r="745" spans="1:26" ht="12.75" customHeight="1">
      <c r="A745" s="47"/>
      <c r="B745" s="47"/>
      <c r="C745" s="47"/>
      <c r="D745" s="47"/>
      <c r="E745" s="47"/>
      <c r="F745" s="47"/>
      <c r="G745" s="47"/>
      <c r="H745" s="84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47"/>
      <c r="U745" s="47"/>
      <c r="V745" s="47"/>
      <c r="W745" s="47"/>
      <c r="X745" s="47"/>
      <c r="Y745" s="47"/>
      <c r="Z745" s="47"/>
    </row>
    <row r="746" spans="1:26" ht="12.75" customHeight="1">
      <c r="A746" s="47"/>
      <c r="B746" s="47"/>
      <c r="C746" s="47"/>
      <c r="D746" s="47"/>
      <c r="E746" s="47"/>
      <c r="F746" s="47"/>
      <c r="G746" s="47"/>
      <c r="H746" s="84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47"/>
      <c r="U746" s="47"/>
      <c r="V746" s="47"/>
      <c r="W746" s="47"/>
      <c r="X746" s="47"/>
      <c r="Y746" s="47"/>
      <c r="Z746" s="47"/>
    </row>
    <row r="747" spans="1:26" ht="12.75" customHeight="1">
      <c r="A747" s="47"/>
      <c r="B747" s="47"/>
      <c r="C747" s="47"/>
      <c r="D747" s="47"/>
      <c r="E747" s="47"/>
      <c r="F747" s="47"/>
      <c r="G747" s="47"/>
      <c r="H747" s="84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47"/>
      <c r="U747" s="47"/>
      <c r="V747" s="47"/>
      <c r="W747" s="47"/>
      <c r="X747" s="47"/>
      <c r="Y747" s="47"/>
      <c r="Z747" s="47"/>
    </row>
    <row r="748" spans="1:26" ht="12.75" customHeight="1">
      <c r="A748" s="47"/>
      <c r="B748" s="47"/>
      <c r="C748" s="47"/>
      <c r="D748" s="47"/>
      <c r="E748" s="47"/>
      <c r="F748" s="47"/>
      <c r="G748" s="47"/>
      <c r="H748" s="84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47"/>
      <c r="U748" s="47"/>
      <c r="V748" s="47"/>
      <c r="W748" s="47"/>
      <c r="X748" s="47"/>
      <c r="Y748" s="47"/>
      <c r="Z748" s="47"/>
    </row>
    <row r="749" spans="1:26" ht="12.75" customHeight="1">
      <c r="A749" s="47"/>
      <c r="B749" s="47"/>
      <c r="C749" s="47"/>
      <c r="D749" s="47"/>
      <c r="E749" s="47"/>
      <c r="F749" s="47"/>
      <c r="G749" s="47"/>
      <c r="H749" s="84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47"/>
      <c r="U749" s="47"/>
      <c r="V749" s="47"/>
      <c r="W749" s="47"/>
      <c r="X749" s="47"/>
      <c r="Y749" s="47"/>
      <c r="Z749" s="47"/>
    </row>
    <row r="750" spans="1:26" ht="12.75" customHeight="1">
      <c r="A750" s="47"/>
      <c r="B750" s="47"/>
      <c r="C750" s="47"/>
      <c r="D750" s="47"/>
      <c r="E750" s="47"/>
      <c r="F750" s="47"/>
      <c r="G750" s="47"/>
      <c r="H750" s="84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47"/>
      <c r="U750" s="47"/>
      <c r="V750" s="47"/>
      <c r="W750" s="47"/>
      <c r="X750" s="47"/>
      <c r="Y750" s="47"/>
      <c r="Z750" s="47"/>
    </row>
    <row r="751" spans="1:26" ht="12.75" customHeight="1">
      <c r="A751" s="47"/>
      <c r="B751" s="47"/>
      <c r="C751" s="47"/>
      <c r="D751" s="47"/>
      <c r="E751" s="47"/>
      <c r="F751" s="47"/>
      <c r="G751" s="47"/>
      <c r="H751" s="84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47"/>
      <c r="U751" s="47"/>
      <c r="V751" s="47"/>
      <c r="W751" s="47"/>
      <c r="X751" s="47"/>
      <c r="Y751" s="47"/>
      <c r="Z751" s="47"/>
    </row>
    <row r="752" spans="1:26" ht="12.75" customHeight="1">
      <c r="A752" s="47"/>
      <c r="B752" s="47"/>
      <c r="C752" s="47"/>
      <c r="D752" s="47"/>
      <c r="E752" s="47"/>
      <c r="F752" s="47"/>
      <c r="G752" s="47"/>
      <c r="H752" s="84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47"/>
      <c r="U752" s="47"/>
      <c r="V752" s="47"/>
      <c r="W752" s="47"/>
      <c r="X752" s="47"/>
      <c r="Y752" s="47"/>
      <c r="Z752" s="47"/>
    </row>
    <row r="753" spans="1:26" ht="12.75" customHeight="1">
      <c r="A753" s="47"/>
      <c r="B753" s="47"/>
      <c r="C753" s="47"/>
      <c r="D753" s="47"/>
      <c r="E753" s="47"/>
      <c r="F753" s="47"/>
      <c r="G753" s="47"/>
      <c r="H753" s="84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47"/>
      <c r="U753" s="47"/>
      <c r="V753" s="47"/>
      <c r="W753" s="47"/>
      <c r="X753" s="47"/>
      <c r="Y753" s="47"/>
      <c r="Z753" s="47"/>
    </row>
    <row r="754" spans="1:26" ht="12.75" customHeight="1">
      <c r="A754" s="47"/>
      <c r="B754" s="47"/>
      <c r="C754" s="47"/>
      <c r="D754" s="47"/>
      <c r="E754" s="47"/>
      <c r="F754" s="47"/>
      <c r="G754" s="47"/>
      <c r="H754" s="84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47"/>
      <c r="U754" s="47"/>
      <c r="V754" s="47"/>
      <c r="W754" s="47"/>
      <c r="X754" s="47"/>
      <c r="Y754" s="47"/>
      <c r="Z754" s="47"/>
    </row>
    <row r="755" spans="1:26" ht="12.75" customHeight="1">
      <c r="A755" s="47"/>
      <c r="B755" s="47"/>
      <c r="C755" s="47"/>
      <c r="D755" s="47"/>
      <c r="E755" s="47"/>
      <c r="F755" s="47"/>
      <c r="G755" s="47"/>
      <c r="H755" s="84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47"/>
      <c r="U755" s="47"/>
      <c r="V755" s="47"/>
      <c r="W755" s="47"/>
      <c r="X755" s="47"/>
      <c r="Y755" s="47"/>
      <c r="Z755" s="47"/>
    </row>
    <row r="756" spans="1:26" ht="12.75" customHeight="1">
      <c r="A756" s="47"/>
      <c r="B756" s="47"/>
      <c r="C756" s="47"/>
      <c r="D756" s="47"/>
      <c r="E756" s="47"/>
      <c r="F756" s="47"/>
      <c r="G756" s="47"/>
      <c r="H756" s="84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47"/>
      <c r="U756" s="47"/>
      <c r="V756" s="47"/>
      <c r="W756" s="47"/>
      <c r="X756" s="47"/>
      <c r="Y756" s="47"/>
      <c r="Z756" s="47"/>
    </row>
    <row r="757" spans="1:26" ht="12.75" customHeight="1">
      <c r="A757" s="47"/>
      <c r="B757" s="47"/>
      <c r="C757" s="47"/>
      <c r="D757" s="47"/>
      <c r="E757" s="47"/>
      <c r="F757" s="47"/>
      <c r="G757" s="47"/>
      <c r="H757" s="84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47"/>
      <c r="U757" s="47"/>
      <c r="V757" s="47"/>
      <c r="W757" s="47"/>
      <c r="X757" s="47"/>
      <c r="Y757" s="47"/>
      <c r="Z757" s="47"/>
    </row>
    <row r="758" spans="1:26" ht="12.75" customHeight="1">
      <c r="A758" s="47"/>
      <c r="B758" s="47"/>
      <c r="C758" s="47"/>
      <c r="D758" s="47"/>
      <c r="E758" s="47"/>
      <c r="F758" s="47"/>
      <c r="G758" s="47"/>
      <c r="H758" s="84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47"/>
      <c r="U758" s="47"/>
      <c r="V758" s="47"/>
      <c r="W758" s="47"/>
      <c r="X758" s="47"/>
      <c r="Y758" s="47"/>
      <c r="Z758" s="47"/>
    </row>
    <row r="759" spans="1:26" ht="12.75" customHeight="1">
      <c r="A759" s="47"/>
      <c r="B759" s="47"/>
      <c r="C759" s="47"/>
      <c r="D759" s="47"/>
      <c r="E759" s="47"/>
      <c r="F759" s="47"/>
      <c r="G759" s="47"/>
      <c r="H759" s="84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47"/>
      <c r="U759" s="47"/>
      <c r="V759" s="47"/>
      <c r="W759" s="47"/>
      <c r="X759" s="47"/>
      <c r="Y759" s="47"/>
      <c r="Z759" s="47"/>
    </row>
    <row r="760" spans="1:26" ht="12.75" customHeight="1">
      <c r="A760" s="47"/>
      <c r="B760" s="47"/>
      <c r="C760" s="47"/>
      <c r="D760" s="47"/>
      <c r="E760" s="47"/>
      <c r="F760" s="47"/>
      <c r="G760" s="47"/>
      <c r="H760" s="84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47"/>
      <c r="U760" s="47"/>
      <c r="V760" s="47"/>
      <c r="W760" s="47"/>
      <c r="X760" s="47"/>
      <c r="Y760" s="47"/>
      <c r="Z760" s="47"/>
    </row>
    <row r="761" spans="1:26" ht="12.75" customHeight="1">
      <c r="A761" s="47"/>
      <c r="B761" s="47"/>
      <c r="C761" s="47"/>
      <c r="D761" s="47"/>
      <c r="E761" s="47"/>
      <c r="F761" s="47"/>
      <c r="G761" s="47"/>
      <c r="H761" s="84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47"/>
      <c r="U761" s="47"/>
      <c r="V761" s="47"/>
      <c r="W761" s="47"/>
      <c r="X761" s="47"/>
      <c r="Y761" s="47"/>
      <c r="Z761" s="47"/>
    </row>
    <row r="762" spans="1:26" ht="12.75" customHeight="1">
      <c r="A762" s="47"/>
      <c r="B762" s="47"/>
      <c r="C762" s="47"/>
      <c r="D762" s="47"/>
      <c r="E762" s="47"/>
      <c r="F762" s="47"/>
      <c r="G762" s="47"/>
      <c r="H762" s="84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47"/>
      <c r="U762" s="47"/>
      <c r="V762" s="47"/>
      <c r="W762" s="47"/>
      <c r="X762" s="47"/>
      <c r="Y762" s="47"/>
      <c r="Z762" s="47"/>
    </row>
    <row r="763" spans="1:26" ht="12.75" customHeight="1">
      <c r="A763" s="47"/>
      <c r="B763" s="47"/>
      <c r="C763" s="47"/>
      <c r="D763" s="47"/>
      <c r="E763" s="47"/>
      <c r="F763" s="47"/>
      <c r="G763" s="47"/>
      <c r="H763" s="84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47"/>
      <c r="U763" s="47"/>
      <c r="V763" s="47"/>
      <c r="W763" s="47"/>
      <c r="X763" s="47"/>
      <c r="Y763" s="47"/>
      <c r="Z763" s="47"/>
    </row>
    <row r="764" spans="1:26" ht="12.75" customHeight="1">
      <c r="A764" s="47"/>
      <c r="B764" s="47"/>
      <c r="C764" s="47"/>
      <c r="D764" s="47"/>
      <c r="E764" s="47"/>
      <c r="F764" s="47"/>
      <c r="G764" s="47"/>
      <c r="H764" s="84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47"/>
      <c r="U764" s="47"/>
      <c r="V764" s="47"/>
      <c r="W764" s="47"/>
      <c r="X764" s="47"/>
      <c r="Y764" s="47"/>
      <c r="Z764" s="47"/>
    </row>
    <row r="765" spans="1:26" ht="12.75" customHeight="1">
      <c r="A765" s="47"/>
      <c r="B765" s="47"/>
      <c r="C765" s="47"/>
      <c r="D765" s="47"/>
      <c r="E765" s="47"/>
      <c r="F765" s="47"/>
      <c r="G765" s="47"/>
      <c r="H765" s="84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47"/>
      <c r="U765" s="47"/>
      <c r="V765" s="47"/>
      <c r="W765" s="47"/>
      <c r="X765" s="47"/>
      <c r="Y765" s="47"/>
      <c r="Z765" s="47"/>
    </row>
    <row r="766" spans="1:26" ht="12.75" customHeight="1">
      <c r="A766" s="47"/>
      <c r="B766" s="47"/>
      <c r="C766" s="47"/>
      <c r="D766" s="47"/>
      <c r="E766" s="47"/>
      <c r="F766" s="47"/>
      <c r="G766" s="47"/>
      <c r="H766" s="84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47"/>
      <c r="U766" s="47"/>
      <c r="V766" s="47"/>
      <c r="W766" s="47"/>
      <c r="X766" s="47"/>
      <c r="Y766" s="47"/>
      <c r="Z766" s="47"/>
    </row>
    <row r="767" spans="1:26" ht="12.75" customHeight="1">
      <c r="A767" s="47"/>
      <c r="B767" s="47"/>
      <c r="C767" s="47"/>
      <c r="D767" s="47"/>
      <c r="E767" s="47"/>
      <c r="F767" s="47"/>
      <c r="G767" s="47"/>
      <c r="H767" s="84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47"/>
      <c r="U767" s="47"/>
      <c r="V767" s="47"/>
      <c r="W767" s="47"/>
      <c r="X767" s="47"/>
      <c r="Y767" s="47"/>
      <c r="Z767" s="47"/>
    </row>
    <row r="768" spans="1:26" ht="12.75" customHeight="1">
      <c r="A768" s="47"/>
      <c r="B768" s="47"/>
      <c r="C768" s="47"/>
      <c r="D768" s="47"/>
      <c r="E768" s="47"/>
      <c r="F768" s="47"/>
      <c r="G768" s="47"/>
      <c r="H768" s="84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47"/>
      <c r="U768" s="47"/>
      <c r="V768" s="47"/>
      <c r="W768" s="47"/>
      <c r="X768" s="47"/>
      <c r="Y768" s="47"/>
      <c r="Z768" s="47"/>
    </row>
    <row r="769" spans="1:26" ht="12.75" customHeight="1">
      <c r="A769" s="47"/>
      <c r="B769" s="47"/>
      <c r="C769" s="47"/>
      <c r="D769" s="47"/>
      <c r="E769" s="47"/>
      <c r="F769" s="47"/>
      <c r="G769" s="47"/>
      <c r="H769" s="84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47"/>
      <c r="U769" s="47"/>
      <c r="V769" s="47"/>
      <c r="W769" s="47"/>
      <c r="X769" s="47"/>
      <c r="Y769" s="47"/>
      <c r="Z769" s="47"/>
    </row>
    <row r="770" spans="1:26" ht="12.75" customHeight="1">
      <c r="A770" s="47"/>
      <c r="B770" s="47"/>
      <c r="C770" s="47"/>
      <c r="D770" s="47"/>
      <c r="E770" s="47"/>
      <c r="F770" s="47"/>
      <c r="G770" s="47"/>
      <c r="H770" s="84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47"/>
      <c r="U770" s="47"/>
      <c r="V770" s="47"/>
      <c r="W770" s="47"/>
      <c r="X770" s="47"/>
      <c r="Y770" s="47"/>
      <c r="Z770" s="47"/>
    </row>
    <row r="771" spans="1:26" ht="12.75" customHeight="1">
      <c r="A771" s="47"/>
      <c r="B771" s="47"/>
      <c r="C771" s="47"/>
      <c r="D771" s="47"/>
      <c r="E771" s="47"/>
      <c r="F771" s="47"/>
      <c r="G771" s="47"/>
      <c r="H771" s="84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47"/>
      <c r="U771" s="47"/>
      <c r="V771" s="47"/>
      <c r="W771" s="47"/>
      <c r="X771" s="47"/>
      <c r="Y771" s="47"/>
      <c r="Z771" s="47"/>
    </row>
    <row r="772" spans="1:26" ht="12.75" customHeight="1">
      <c r="A772" s="47"/>
      <c r="B772" s="47"/>
      <c r="C772" s="47"/>
      <c r="D772" s="47"/>
      <c r="E772" s="47"/>
      <c r="F772" s="47"/>
      <c r="G772" s="47"/>
      <c r="H772" s="84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47"/>
      <c r="U772" s="47"/>
      <c r="V772" s="47"/>
      <c r="W772" s="47"/>
      <c r="X772" s="47"/>
      <c r="Y772" s="47"/>
      <c r="Z772" s="47"/>
    </row>
    <row r="773" spans="1:26" ht="12.75" customHeight="1">
      <c r="A773" s="47"/>
      <c r="B773" s="47"/>
      <c r="C773" s="47"/>
      <c r="D773" s="47"/>
      <c r="E773" s="47"/>
      <c r="F773" s="47"/>
      <c r="G773" s="47"/>
      <c r="H773" s="84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47"/>
      <c r="U773" s="47"/>
      <c r="V773" s="47"/>
      <c r="W773" s="47"/>
      <c r="X773" s="47"/>
      <c r="Y773" s="47"/>
      <c r="Z773" s="47"/>
    </row>
    <row r="774" spans="1:26" ht="12.75" customHeight="1">
      <c r="A774" s="47"/>
      <c r="B774" s="47"/>
      <c r="C774" s="47"/>
      <c r="D774" s="47"/>
      <c r="E774" s="47"/>
      <c r="F774" s="47"/>
      <c r="G774" s="47"/>
      <c r="H774" s="84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47"/>
      <c r="U774" s="47"/>
      <c r="V774" s="47"/>
      <c r="W774" s="47"/>
      <c r="X774" s="47"/>
      <c r="Y774" s="47"/>
      <c r="Z774" s="47"/>
    </row>
    <row r="775" spans="1:26" ht="12.75" customHeight="1">
      <c r="A775" s="47"/>
      <c r="B775" s="47"/>
      <c r="C775" s="47"/>
      <c r="D775" s="47"/>
      <c r="E775" s="47"/>
      <c r="F775" s="47"/>
      <c r="G775" s="47"/>
      <c r="H775" s="84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47"/>
      <c r="U775" s="47"/>
      <c r="V775" s="47"/>
      <c r="W775" s="47"/>
      <c r="X775" s="47"/>
      <c r="Y775" s="47"/>
      <c r="Z775" s="47"/>
    </row>
    <row r="776" spans="1:26" ht="12.75" customHeight="1">
      <c r="A776" s="47"/>
      <c r="B776" s="47"/>
      <c r="C776" s="47"/>
      <c r="D776" s="47"/>
      <c r="E776" s="47"/>
      <c r="F776" s="47"/>
      <c r="G776" s="47"/>
      <c r="H776" s="84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47"/>
      <c r="U776" s="47"/>
      <c r="V776" s="47"/>
      <c r="W776" s="47"/>
      <c r="X776" s="47"/>
      <c r="Y776" s="47"/>
      <c r="Z776" s="47"/>
    </row>
    <row r="777" spans="1:26" ht="12.75" customHeight="1">
      <c r="A777" s="47"/>
      <c r="B777" s="47"/>
      <c r="C777" s="47"/>
      <c r="D777" s="47"/>
      <c r="E777" s="47"/>
      <c r="F777" s="47"/>
      <c r="G777" s="47"/>
      <c r="H777" s="84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47"/>
      <c r="U777" s="47"/>
      <c r="V777" s="47"/>
      <c r="W777" s="47"/>
      <c r="X777" s="47"/>
      <c r="Y777" s="47"/>
      <c r="Z777" s="47"/>
    </row>
    <row r="778" spans="1:26" ht="12.75" customHeight="1">
      <c r="A778" s="47"/>
      <c r="B778" s="47"/>
      <c r="C778" s="47"/>
      <c r="D778" s="47"/>
      <c r="E778" s="47"/>
      <c r="F778" s="47"/>
      <c r="G778" s="47"/>
      <c r="H778" s="84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47"/>
      <c r="U778" s="47"/>
      <c r="V778" s="47"/>
      <c r="W778" s="47"/>
      <c r="X778" s="47"/>
      <c r="Y778" s="47"/>
      <c r="Z778" s="47"/>
    </row>
    <row r="779" spans="1:26" ht="12.75" customHeight="1">
      <c r="A779" s="47"/>
      <c r="B779" s="47"/>
      <c r="C779" s="47"/>
      <c r="D779" s="47"/>
      <c r="E779" s="47"/>
      <c r="F779" s="47"/>
      <c r="G779" s="47"/>
      <c r="H779" s="84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47"/>
      <c r="U779" s="47"/>
      <c r="V779" s="47"/>
      <c r="W779" s="47"/>
      <c r="X779" s="47"/>
      <c r="Y779" s="47"/>
      <c r="Z779" s="47"/>
    </row>
    <row r="780" spans="1:26" ht="12.75" customHeight="1">
      <c r="A780" s="47"/>
      <c r="B780" s="47"/>
      <c r="C780" s="47"/>
      <c r="D780" s="47"/>
      <c r="E780" s="47"/>
      <c r="F780" s="47"/>
      <c r="G780" s="47"/>
      <c r="H780" s="84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47"/>
      <c r="U780" s="47"/>
      <c r="V780" s="47"/>
      <c r="W780" s="47"/>
      <c r="X780" s="47"/>
      <c r="Y780" s="47"/>
      <c r="Z780" s="47"/>
    </row>
    <row r="781" spans="1:26" ht="12.75" customHeight="1">
      <c r="A781" s="47"/>
      <c r="B781" s="47"/>
      <c r="C781" s="47"/>
      <c r="D781" s="47"/>
      <c r="E781" s="47"/>
      <c r="F781" s="47"/>
      <c r="G781" s="47"/>
      <c r="H781" s="84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47"/>
      <c r="U781" s="47"/>
      <c r="V781" s="47"/>
      <c r="W781" s="47"/>
      <c r="X781" s="47"/>
      <c r="Y781" s="47"/>
      <c r="Z781" s="47"/>
    </row>
    <row r="782" spans="1:26" ht="12.75" customHeight="1">
      <c r="A782" s="47"/>
      <c r="B782" s="47"/>
      <c r="C782" s="47"/>
      <c r="D782" s="47"/>
      <c r="E782" s="47"/>
      <c r="F782" s="47"/>
      <c r="G782" s="47"/>
      <c r="H782" s="84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47"/>
      <c r="U782" s="47"/>
      <c r="V782" s="47"/>
      <c r="W782" s="47"/>
      <c r="X782" s="47"/>
      <c r="Y782" s="47"/>
      <c r="Z782" s="47"/>
    </row>
    <row r="783" spans="1:26" ht="12.75" customHeight="1">
      <c r="A783" s="47"/>
      <c r="B783" s="47"/>
      <c r="C783" s="47"/>
      <c r="D783" s="47"/>
      <c r="E783" s="47"/>
      <c r="F783" s="47"/>
      <c r="G783" s="47"/>
      <c r="H783" s="84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47"/>
      <c r="U783" s="47"/>
      <c r="V783" s="47"/>
      <c r="W783" s="47"/>
      <c r="X783" s="47"/>
      <c r="Y783" s="47"/>
      <c r="Z783" s="47"/>
    </row>
    <row r="784" spans="1:26" ht="12.75" customHeight="1">
      <c r="A784" s="47"/>
      <c r="B784" s="47"/>
      <c r="C784" s="47"/>
      <c r="D784" s="47"/>
      <c r="E784" s="47"/>
      <c r="F784" s="47"/>
      <c r="G784" s="47"/>
      <c r="H784" s="84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47"/>
      <c r="U784" s="47"/>
      <c r="V784" s="47"/>
      <c r="W784" s="47"/>
      <c r="X784" s="47"/>
      <c r="Y784" s="47"/>
      <c r="Z784" s="47"/>
    </row>
    <row r="785" spans="1:26" ht="12.75" customHeight="1">
      <c r="A785" s="47"/>
      <c r="B785" s="47"/>
      <c r="C785" s="47"/>
      <c r="D785" s="47"/>
      <c r="E785" s="47"/>
      <c r="F785" s="47"/>
      <c r="G785" s="47"/>
      <c r="H785" s="84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47"/>
      <c r="U785" s="47"/>
      <c r="V785" s="47"/>
      <c r="W785" s="47"/>
      <c r="X785" s="47"/>
      <c r="Y785" s="47"/>
      <c r="Z785" s="47"/>
    </row>
    <row r="786" spans="1:26" ht="12.75" customHeight="1">
      <c r="A786" s="47"/>
      <c r="B786" s="47"/>
      <c r="C786" s="47"/>
      <c r="D786" s="47"/>
      <c r="E786" s="47"/>
      <c r="F786" s="47"/>
      <c r="G786" s="47"/>
      <c r="H786" s="84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47"/>
      <c r="U786" s="47"/>
      <c r="V786" s="47"/>
      <c r="W786" s="47"/>
      <c r="X786" s="47"/>
      <c r="Y786" s="47"/>
      <c r="Z786" s="47"/>
    </row>
    <row r="787" spans="1:26" ht="12.75" customHeight="1">
      <c r="A787" s="47"/>
      <c r="B787" s="47"/>
      <c r="C787" s="47"/>
      <c r="D787" s="47"/>
      <c r="E787" s="47"/>
      <c r="F787" s="47"/>
      <c r="G787" s="47"/>
      <c r="H787" s="84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47"/>
      <c r="U787" s="47"/>
      <c r="V787" s="47"/>
      <c r="W787" s="47"/>
      <c r="X787" s="47"/>
      <c r="Y787" s="47"/>
      <c r="Z787" s="47"/>
    </row>
    <row r="788" spans="1:26" ht="12.75" customHeight="1">
      <c r="A788" s="47"/>
      <c r="B788" s="47"/>
      <c r="C788" s="47"/>
      <c r="D788" s="47"/>
      <c r="E788" s="47"/>
      <c r="F788" s="47"/>
      <c r="G788" s="47"/>
      <c r="H788" s="84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47"/>
      <c r="U788" s="47"/>
      <c r="V788" s="47"/>
      <c r="W788" s="47"/>
      <c r="X788" s="47"/>
      <c r="Y788" s="47"/>
      <c r="Z788" s="47"/>
    </row>
    <row r="789" spans="1:26" ht="12.75" customHeight="1">
      <c r="A789" s="47"/>
      <c r="B789" s="47"/>
      <c r="C789" s="47"/>
      <c r="D789" s="47"/>
      <c r="E789" s="47"/>
      <c r="F789" s="47"/>
      <c r="G789" s="47"/>
      <c r="H789" s="84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47"/>
      <c r="U789" s="47"/>
      <c r="V789" s="47"/>
      <c r="W789" s="47"/>
      <c r="X789" s="47"/>
      <c r="Y789" s="47"/>
      <c r="Z789" s="47"/>
    </row>
    <row r="790" spans="1:26" ht="12.75" customHeight="1">
      <c r="A790" s="47"/>
      <c r="B790" s="47"/>
      <c r="C790" s="47"/>
      <c r="D790" s="47"/>
      <c r="E790" s="47"/>
      <c r="F790" s="47"/>
      <c r="G790" s="47"/>
      <c r="H790" s="84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47"/>
      <c r="U790" s="47"/>
      <c r="V790" s="47"/>
      <c r="W790" s="47"/>
      <c r="X790" s="47"/>
      <c r="Y790" s="47"/>
      <c r="Z790" s="47"/>
    </row>
    <row r="791" spans="1:26" ht="12.75" customHeight="1">
      <c r="A791" s="47"/>
      <c r="B791" s="47"/>
      <c r="C791" s="47"/>
      <c r="D791" s="47"/>
      <c r="E791" s="47"/>
      <c r="F791" s="47"/>
      <c r="G791" s="47"/>
      <c r="H791" s="84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47"/>
      <c r="U791" s="47"/>
      <c r="V791" s="47"/>
      <c r="W791" s="47"/>
      <c r="X791" s="47"/>
      <c r="Y791" s="47"/>
      <c r="Z791" s="47"/>
    </row>
    <row r="792" spans="1:26" ht="12.75" customHeight="1">
      <c r="A792" s="47"/>
      <c r="B792" s="47"/>
      <c r="C792" s="47"/>
      <c r="D792" s="47"/>
      <c r="E792" s="47"/>
      <c r="F792" s="47"/>
      <c r="G792" s="47"/>
      <c r="H792" s="84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47"/>
      <c r="U792" s="47"/>
      <c r="V792" s="47"/>
      <c r="W792" s="47"/>
      <c r="X792" s="47"/>
      <c r="Y792" s="47"/>
      <c r="Z792" s="47"/>
    </row>
    <row r="793" spans="1:26" ht="12.75" customHeight="1">
      <c r="A793" s="47"/>
      <c r="B793" s="47"/>
      <c r="C793" s="47"/>
      <c r="D793" s="47"/>
      <c r="E793" s="47"/>
      <c r="F793" s="47"/>
      <c r="G793" s="47"/>
      <c r="H793" s="84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47"/>
      <c r="U793" s="47"/>
      <c r="V793" s="47"/>
      <c r="W793" s="47"/>
      <c r="X793" s="47"/>
      <c r="Y793" s="47"/>
      <c r="Z793" s="47"/>
    </row>
    <row r="794" spans="1:26" ht="12.75" customHeight="1">
      <c r="A794" s="47"/>
      <c r="B794" s="47"/>
      <c r="C794" s="47"/>
      <c r="D794" s="47"/>
      <c r="E794" s="47"/>
      <c r="F794" s="47"/>
      <c r="G794" s="47"/>
      <c r="H794" s="84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47"/>
      <c r="U794" s="47"/>
      <c r="V794" s="47"/>
      <c r="W794" s="47"/>
      <c r="X794" s="47"/>
      <c r="Y794" s="47"/>
      <c r="Z794" s="47"/>
    </row>
    <row r="795" spans="1:26" ht="12.75" customHeight="1">
      <c r="A795" s="47"/>
      <c r="B795" s="47"/>
      <c r="C795" s="47"/>
      <c r="D795" s="47"/>
      <c r="E795" s="47"/>
      <c r="F795" s="47"/>
      <c r="G795" s="47"/>
      <c r="H795" s="84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47"/>
      <c r="U795" s="47"/>
      <c r="V795" s="47"/>
      <c r="W795" s="47"/>
      <c r="X795" s="47"/>
      <c r="Y795" s="47"/>
      <c r="Z795" s="47"/>
    </row>
    <row r="796" spans="1:26" ht="12.75" customHeight="1">
      <c r="A796" s="47"/>
      <c r="B796" s="47"/>
      <c r="C796" s="47"/>
      <c r="D796" s="47"/>
      <c r="E796" s="47"/>
      <c r="F796" s="47"/>
      <c r="G796" s="47"/>
      <c r="H796" s="84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47"/>
      <c r="U796" s="47"/>
      <c r="V796" s="47"/>
      <c r="W796" s="47"/>
      <c r="X796" s="47"/>
      <c r="Y796" s="47"/>
      <c r="Z796" s="47"/>
    </row>
    <row r="797" spans="1:26" ht="12.75" customHeight="1">
      <c r="A797" s="47"/>
      <c r="B797" s="47"/>
      <c r="C797" s="47"/>
      <c r="D797" s="47"/>
      <c r="E797" s="47"/>
      <c r="F797" s="47"/>
      <c r="G797" s="47"/>
      <c r="H797" s="84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47"/>
      <c r="U797" s="47"/>
      <c r="V797" s="47"/>
      <c r="W797" s="47"/>
      <c r="X797" s="47"/>
      <c r="Y797" s="47"/>
      <c r="Z797" s="47"/>
    </row>
    <row r="798" spans="1:26" ht="12.75" customHeight="1">
      <c r="A798" s="47"/>
      <c r="B798" s="47"/>
      <c r="C798" s="47"/>
      <c r="D798" s="47"/>
      <c r="E798" s="47"/>
      <c r="F798" s="47"/>
      <c r="G798" s="47"/>
      <c r="H798" s="84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47"/>
      <c r="U798" s="47"/>
      <c r="V798" s="47"/>
      <c r="W798" s="47"/>
      <c r="X798" s="47"/>
      <c r="Y798" s="47"/>
      <c r="Z798" s="47"/>
    </row>
    <row r="799" spans="1:26" ht="12.75" customHeight="1">
      <c r="A799" s="47"/>
      <c r="B799" s="47"/>
      <c r="C799" s="47"/>
      <c r="D799" s="47"/>
      <c r="E799" s="47"/>
      <c r="F799" s="47"/>
      <c r="G799" s="47"/>
      <c r="H799" s="84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47"/>
      <c r="U799" s="47"/>
      <c r="V799" s="47"/>
      <c r="W799" s="47"/>
      <c r="X799" s="47"/>
      <c r="Y799" s="47"/>
      <c r="Z799" s="47"/>
    </row>
    <row r="800" spans="1:26" ht="12.75" customHeight="1">
      <c r="A800" s="47"/>
      <c r="B800" s="47"/>
      <c r="C800" s="47"/>
      <c r="D800" s="47"/>
      <c r="E800" s="47"/>
      <c r="F800" s="47"/>
      <c r="G800" s="47"/>
      <c r="H800" s="84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47"/>
      <c r="U800" s="47"/>
      <c r="V800" s="47"/>
      <c r="W800" s="47"/>
      <c r="X800" s="47"/>
      <c r="Y800" s="47"/>
      <c r="Z800" s="47"/>
    </row>
    <row r="801" spans="1:26" ht="12.75" customHeight="1">
      <c r="A801" s="47"/>
      <c r="B801" s="47"/>
      <c r="C801" s="47"/>
      <c r="D801" s="47"/>
      <c r="E801" s="47"/>
      <c r="F801" s="47"/>
      <c r="G801" s="47"/>
      <c r="H801" s="84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47"/>
      <c r="U801" s="47"/>
      <c r="V801" s="47"/>
      <c r="W801" s="47"/>
      <c r="X801" s="47"/>
      <c r="Y801" s="47"/>
      <c r="Z801" s="47"/>
    </row>
    <row r="802" spans="1:26" ht="12.75" customHeight="1">
      <c r="A802" s="47"/>
      <c r="B802" s="47"/>
      <c r="C802" s="47"/>
      <c r="D802" s="47"/>
      <c r="E802" s="47"/>
      <c r="F802" s="47"/>
      <c r="G802" s="47"/>
      <c r="H802" s="84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47"/>
      <c r="U802" s="47"/>
      <c r="V802" s="47"/>
      <c r="W802" s="47"/>
      <c r="X802" s="47"/>
      <c r="Y802" s="47"/>
      <c r="Z802" s="47"/>
    </row>
    <row r="803" spans="1:26" ht="12.75" customHeight="1">
      <c r="A803" s="47"/>
      <c r="B803" s="47"/>
      <c r="C803" s="47"/>
      <c r="D803" s="47"/>
      <c r="E803" s="47"/>
      <c r="F803" s="47"/>
      <c r="G803" s="47"/>
      <c r="H803" s="84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47"/>
      <c r="U803" s="47"/>
      <c r="V803" s="47"/>
      <c r="W803" s="47"/>
      <c r="X803" s="47"/>
      <c r="Y803" s="47"/>
      <c r="Z803" s="47"/>
    </row>
    <row r="804" spans="1:26" ht="12.75" customHeight="1">
      <c r="A804" s="47"/>
      <c r="B804" s="47"/>
      <c r="C804" s="47"/>
      <c r="D804" s="47"/>
      <c r="E804" s="47"/>
      <c r="F804" s="47"/>
      <c r="G804" s="47"/>
      <c r="H804" s="84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47"/>
      <c r="U804" s="47"/>
      <c r="V804" s="47"/>
      <c r="W804" s="47"/>
      <c r="X804" s="47"/>
      <c r="Y804" s="47"/>
      <c r="Z804" s="47"/>
    </row>
    <row r="805" spans="1:26" ht="12.75" customHeight="1">
      <c r="A805" s="47"/>
      <c r="B805" s="47"/>
      <c r="C805" s="47"/>
      <c r="D805" s="47"/>
      <c r="E805" s="47"/>
      <c r="F805" s="47"/>
      <c r="G805" s="47"/>
      <c r="H805" s="84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47"/>
      <c r="U805" s="47"/>
      <c r="V805" s="47"/>
      <c r="W805" s="47"/>
      <c r="X805" s="47"/>
      <c r="Y805" s="47"/>
      <c r="Z805" s="47"/>
    </row>
    <row r="806" spans="1:26" ht="12.75" customHeight="1">
      <c r="A806" s="47"/>
      <c r="B806" s="47"/>
      <c r="C806" s="47"/>
      <c r="D806" s="47"/>
      <c r="E806" s="47"/>
      <c r="F806" s="47"/>
      <c r="G806" s="47"/>
      <c r="H806" s="84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47"/>
      <c r="U806" s="47"/>
      <c r="V806" s="47"/>
      <c r="W806" s="47"/>
      <c r="X806" s="47"/>
      <c r="Y806" s="47"/>
      <c r="Z806" s="47"/>
    </row>
    <row r="807" spans="1:26" ht="12.75" customHeight="1">
      <c r="A807" s="47"/>
      <c r="B807" s="47"/>
      <c r="C807" s="47"/>
      <c r="D807" s="47"/>
      <c r="E807" s="47"/>
      <c r="F807" s="47"/>
      <c r="G807" s="47"/>
      <c r="H807" s="84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47"/>
      <c r="U807" s="47"/>
      <c r="V807" s="47"/>
      <c r="W807" s="47"/>
      <c r="X807" s="47"/>
      <c r="Y807" s="47"/>
      <c r="Z807" s="47"/>
    </row>
    <row r="808" spans="1:26" ht="12.75" customHeight="1">
      <c r="A808" s="47"/>
      <c r="B808" s="47"/>
      <c r="C808" s="47"/>
      <c r="D808" s="47"/>
      <c r="E808" s="47"/>
      <c r="F808" s="47"/>
      <c r="G808" s="47"/>
      <c r="H808" s="84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47"/>
      <c r="U808" s="47"/>
      <c r="V808" s="47"/>
      <c r="W808" s="47"/>
      <c r="X808" s="47"/>
      <c r="Y808" s="47"/>
      <c r="Z808" s="47"/>
    </row>
    <row r="809" spans="1:26" ht="12.75" customHeight="1">
      <c r="A809" s="47"/>
      <c r="B809" s="47"/>
      <c r="C809" s="47"/>
      <c r="D809" s="47"/>
      <c r="E809" s="47"/>
      <c r="F809" s="47"/>
      <c r="G809" s="47"/>
      <c r="H809" s="84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47"/>
      <c r="U809" s="47"/>
      <c r="V809" s="47"/>
      <c r="W809" s="47"/>
      <c r="X809" s="47"/>
      <c r="Y809" s="47"/>
      <c r="Z809" s="47"/>
    </row>
    <row r="810" spans="1:26" ht="12.75" customHeight="1">
      <c r="A810" s="47"/>
      <c r="B810" s="47"/>
      <c r="C810" s="47"/>
      <c r="D810" s="47"/>
      <c r="E810" s="47"/>
      <c r="F810" s="47"/>
      <c r="G810" s="47"/>
      <c r="H810" s="84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47"/>
      <c r="U810" s="47"/>
      <c r="V810" s="47"/>
      <c r="W810" s="47"/>
      <c r="X810" s="47"/>
      <c r="Y810" s="47"/>
      <c r="Z810" s="47"/>
    </row>
    <row r="811" spans="1:26" ht="12.75" customHeight="1">
      <c r="A811" s="47"/>
      <c r="B811" s="47"/>
      <c r="C811" s="47"/>
      <c r="D811" s="47"/>
      <c r="E811" s="47"/>
      <c r="F811" s="47"/>
      <c r="G811" s="47"/>
      <c r="H811" s="84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47"/>
      <c r="U811" s="47"/>
      <c r="V811" s="47"/>
      <c r="W811" s="47"/>
      <c r="X811" s="47"/>
      <c r="Y811" s="47"/>
      <c r="Z811" s="47"/>
    </row>
    <row r="812" spans="1:26" ht="12.75" customHeight="1">
      <c r="A812" s="47"/>
      <c r="B812" s="47"/>
      <c r="C812" s="47"/>
      <c r="D812" s="47"/>
      <c r="E812" s="47"/>
      <c r="F812" s="47"/>
      <c r="G812" s="47"/>
      <c r="H812" s="84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47"/>
      <c r="U812" s="47"/>
      <c r="V812" s="47"/>
      <c r="W812" s="47"/>
      <c r="X812" s="47"/>
      <c r="Y812" s="47"/>
      <c r="Z812" s="47"/>
    </row>
    <row r="813" spans="1:26" ht="12.75" customHeight="1">
      <c r="A813" s="47"/>
      <c r="B813" s="47"/>
      <c r="C813" s="47"/>
      <c r="D813" s="47"/>
      <c r="E813" s="47"/>
      <c r="F813" s="47"/>
      <c r="G813" s="47"/>
      <c r="H813" s="84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47"/>
      <c r="U813" s="47"/>
      <c r="V813" s="47"/>
      <c r="W813" s="47"/>
      <c r="X813" s="47"/>
      <c r="Y813" s="47"/>
      <c r="Z813" s="47"/>
    </row>
    <row r="814" spans="1:26" ht="12.75" customHeight="1">
      <c r="A814" s="47"/>
      <c r="B814" s="47"/>
      <c r="C814" s="47"/>
      <c r="D814" s="47"/>
      <c r="E814" s="47"/>
      <c r="F814" s="47"/>
      <c r="G814" s="47"/>
      <c r="H814" s="84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47"/>
      <c r="U814" s="47"/>
      <c r="V814" s="47"/>
      <c r="W814" s="47"/>
      <c r="X814" s="47"/>
      <c r="Y814" s="47"/>
      <c r="Z814" s="47"/>
    </row>
    <row r="815" spans="1:26" ht="12.75" customHeight="1">
      <c r="A815" s="47"/>
      <c r="B815" s="47"/>
      <c r="C815" s="47"/>
      <c r="D815" s="47"/>
      <c r="E815" s="47"/>
      <c r="F815" s="47"/>
      <c r="G815" s="47"/>
      <c r="H815" s="84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47"/>
      <c r="U815" s="47"/>
      <c r="V815" s="47"/>
      <c r="W815" s="47"/>
      <c r="X815" s="47"/>
      <c r="Y815" s="47"/>
      <c r="Z815" s="47"/>
    </row>
    <row r="816" spans="1:26" ht="12.75" customHeight="1">
      <c r="A816" s="47"/>
      <c r="B816" s="47"/>
      <c r="C816" s="47"/>
      <c r="D816" s="47"/>
      <c r="E816" s="47"/>
      <c r="F816" s="47"/>
      <c r="G816" s="47"/>
      <c r="H816" s="84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47"/>
      <c r="U816" s="47"/>
      <c r="V816" s="47"/>
      <c r="W816" s="47"/>
      <c r="X816" s="47"/>
      <c r="Y816" s="47"/>
      <c r="Z816" s="47"/>
    </row>
    <row r="817" spans="1:26" ht="12.75" customHeight="1">
      <c r="A817" s="47"/>
      <c r="B817" s="47"/>
      <c r="C817" s="47"/>
      <c r="D817" s="47"/>
      <c r="E817" s="47"/>
      <c r="F817" s="47"/>
      <c r="G817" s="47"/>
      <c r="H817" s="84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47"/>
      <c r="U817" s="47"/>
      <c r="V817" s="47"/>
      <c r="W817" s="47"/>
      <c r="X817" s="47"/>
      <c r="Y817" s="47"/>
      <c r="Z817" s="47"/>
    </row>
    <row r="818" spans="1:26" ht="12.75" customHeight="1">
      <c r="A818" s="47"/>
      <c r="B818" s="47"/>
      <c r="C818" s="47"/>
      <c r="D818" s="47"/>
      <c r="E818" s="47"/>
      <c r="F818" s="47"/>
      <c r="G818" s="47"/>
      <c r="H818" s="84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47"/>
      <c r="U818" s="47"/>
      <c r="V818" s="47"/>
      <c r="W818" s="47"/>
      <c r="X818" s="47"/>
      <c r="Y818" s="47"/>
      <c r="Z818" s="47"/>
    </row>
    <row r="819" spans="1:26" ht="12.75" customHeight="1">
      <c r="A819" s="47"/>
      <c r="B819" s="47"/>
      <c r="C819" s="47"/>
      <c r="D819" s="47"/>
      <c r="E819" s="47"/>
      <c r="F819" s="47"/>
      <c r="G819" s="47"/>
      <c r="H819" s="84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47"/>
      <c r="U819" s="47"/>
      <c r="V819" s="47"/>
      <c r="W819" s="47"/>
      <c r="X819" s="47"/>
      <c r="Y819" s="47"/>
      <c r="Z819" s="47"/>
    </row>
    <row r="820" spans="1:26" ht="12.75" customHeight="1">
      <c r="A820" s="47"/>
      <c r="B820" s="47"/>
      <c r="C820" s="47"/>
      <c r="D820" s="47"/>
      <c r="E820" s="47"/>
      <c r="F820" s="47"/>
      <c r="G820" s="47"/>
      <c r="H820" s="84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47"/>
      <c r="U820" s="47"/>
      <c r="V820" s="47"/>
      <c r="W820" s="47"/>
      <c r="X820" s="47"/>
      <c r="Y820" s="47"/>
      <c r="Z820" s="47"/>
    </row>
    <row r="821" spans="1:26" ht="12.75" customHeight="1">
      <c r="A821" s="47"/>
      <c r="B821" s="47"/>
      <c r="C821" s="47"/>
      <c r="D821" s="47"/>
      <c r="E821" s="47"/>
      <c r="F821" s="47"/>
      <c r="G821" s="47"/>
      <c r="H821" s="84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47"/>
      <c r="U821" s="47"/>
      <c r="V821" s="47"/>
      <c r="W821" s="47"/>
      <c r="X821" s="47"/>
      <c r="Y821" s="47"/>
      <c r="Z821" s="47"/>
    </row>
    <row r="822" spans="1:26" ht="12.75" customHeight="1">
      <c r="A822" s="47"/>
      <c r="B822" s="47"/>
      <c r="C822" s="47"/>
      <c r="D822" s="47"/>
      <c r="E822" s="47"/>
      <c r="F822" s="47"/>
      <c r="G822" s="47"/>
      <c r="H822" s="84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47"/>
      <c r="U822" s="47"/>
      <c r="V822" s="47"/>
      <c r="W822" s="47"/>
      <c r="X822" s="47"/>
      <c r="Y822" s="47"/>
      <c r="Z822" s="47"/>
    </row>
    <row r="823" spans="1:26" ht="12.75" customHeight="1">
      <c r="A823" s="47"/>
      <c r="B823" s="47"/>
      <c r="C823" s="47"/>
      <c r="D823" s="47"/>
      <c r="E823" s="47"/>
      <c r="F823" s="47"/>
      <c r="G823" s="47"/>
      <c r="H823" s="84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47"/>
      <c r="U823" s="47"/>
      <c r="V823" s="47"/>
      <c r="W823" s="47"/>
      <c r="X823" s="47"/>
      <c r="Y823" s="47"/>
      <c r="Z823" s="47"/>
    </row>
    <row r="824" spans="1:26" ht="12.75" customHeight="1">
      <c r="A824" s="47"/>
      <c r="B824" s="47"/>
      <c r="C824" s="47"/>
      <c r="D824" s="47"/>
      <c r="E824" s="47"/>
      <c r="F824" s="47"/>
      <c r="G824" s="47"/>
      <c r="H824" s="84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47"/>
      <c r="U824" s="47"/>
      <c r="V824" s="47"/>
      <c r="W824" s="47"/>
      <c r="X824" s="47"/>
      <c r="Y824" s="47"/>
      <c r="Z824" s="47"/>
    </row>
    <row r="825" spans="1:26" ht="12.75" customHeight="1">
      <c r="A825" s="47"/>
      <c r="B825" s="47"/>
      <c r="C825" s="47"/>
      <c r="D825" s="47"/>
      <c r="E825" s="47"/>
      <c r="F825" s="47"/>
      <c r="G825" s="47"/>
      <c r="H825" s="84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47"/>
      <c r="U825" s="47"/>
      <c r="V825" s="47"/>
      <c r="W825" s="47"/>
      <c r="X825" s="47"/>
      <c r="Y825" s="47"/>
      <c r="Z825" s="47"/>
    </row>
    <row r="826" spans="1:26" ht="12.75" customHeight="1">
      <c r="A826" s="47"/>
      <c r="B826" s="47"/>
      <c r="C826" s="47"/>
      <c r="D826" s="47"/>
      <c r="E826" s="47"/>
      <c r="F826" s="47"/>
      <c r="G826" s="47"/>
      <c r="H826" s="84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47"/>
      <c r="U826" s="47"/>
      <c r="V826" s="47"/>
      <c r="W826" s="47"/>
      <c r="X826" s="47"/>
      <c r="Y826" s="47"/>
      <c r="Z826" s="47"/>
    </row>
    <row r="827" spans="1:26" ht="12.75" customHeight="1">
      <c r="A827" s="47"/>
      <c r="B827" s="47"/>
      <c r="C827" s="47"/>
      <c r="D827" s="47"/>
      <c r="E827" s="47"/>
      <c r="F827" s="47"/>
      <c r="G827" s="47"/>
      <c r="H827" s="84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47"/>
      <c r="U827" s="47"/>
      <c r="V827" s="47"/>
      <c r="W827" s="47"/>
      <c r="X827" s="47"/>
      <c r="Y827" s="47"/>
      <c r="Z827" s="47"/>
    </row>
    <row r="828" spans="1:26" ht="12.75" customHeight="1">
      <c r="A828" s="47"/>
      <c r="B828" s="47"/>
      <c r="C828" s="47"/>
      <c r="D828" s="47"/>
      <c r="E828" s="47"/>
      <c r="F828" s="47"/>
      <c r="G828" s="47"/>
      <c r="H828" s="84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47"/>
      <c r="U828" s="47"/>
      <c r="V828" s="47"/>
      <c r="W828" s="47"/>
      <c r="X828" s="47"/>
      <c r="Y828" s="47"/>
      <c r="Z828" s="47"/>
    </row>
    <row r="829" spans="1:26" ht="12.75" customHeight="1">
      <c r="A829" s="47"/>
      <c r="B829" s="47"/>
      <c r="C829" s="47"/>
      <c r="D829" s="47"/>
      <c r="E829" s="47"/>
      <c r="F829" s="47"/>
      <c r="G829" s="47"/>
      <c r="H829" s="84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47"/>
      <c r="U829" s="47"/>
      <c r="V829" s="47"/>
      <c r="W829" s="47"/>
      <c r="X829" s="47"/>
      <c r="Y829" s="47"/>
      <c r="Z829" s="47"/>
    </row>
    <row r="830" spans="1:26" ht="12.75" customHeight="1">
      <c r="A830" s="47"/>
      <c r="B830" s="47"/>
      <c r="C830" s="47"/>
      <c r="D830" s="47"/>
      <c r="E830" s="47"/>
      <c r="F830" s="47"/>
      <c r="G830" s="47"/>
      <c r="H830" s="84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47"/>
      <c r="U830" s="47"/>
      <c r="V830" s="47"/>
      <c r="W830" s="47"/>
      <c r="X830" s="47"/>
      <c r="Y830" s="47"/>
      <c r="Z830" s="47"/>
    </row>
    <row r="831" spans="1:26" ht="12.75" customHeight="1">
      <c r="A831" s="47"/>
      <c r="B831" s="47"/>
      <c r="C831" s="47"/>
      <c r="D831" s="47"/>
      <c r="E831" s="47"/>
      <c r="F831" s="47"/>
      <c r="G831" s="47"/>
      <c r="H831" s="84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47"/>
      <c r="U831" s="47"/>
      <c r="V831" s="47"/>
      <c r="W831" s="47"/>
      <c r="X831" s="47"/>
      <c r="Y831" s="47"/>
      <c r="Z831" s="47"/>
    </row>
    <row r="832" spans="1:26" ht="12.75" customHeight="1">
      <c r="A832" s="47"/>
      <c r="B832" s="47"/>
      <c r="C832" s="47"/>
      <c r="D832" s="47"/>
      <c r="E832" s="47"/>
      <c r="F832" s="47"/>
      <c r="G832" s="47"/>
      <c r="H832" s="84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47"/>
      <c r="U832" s="47"/>
      <c r="V832" s="47"/>
      <c r="W832" s="47"/>
      <c r="X832" s="47"/>
      <c r="Y832" s="47"/>
      <c r="Z832" s="47"/>
    </row>
    <row r="833" spans="1:26" ht="12.75" customHeight="1">
      <c r="A833" s="47"/>
      <c r="B833" s="47"/>
      <c r="C833" s="47"/>
      <c r="D833" s="47"/>
      <c r="E833" s="47"/>
      <c r="F833" s="47"/>
      <c r="G833" s="47"/>
      <c r="H833" s="84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47"/>
      <c r="U833" s="47"/>
      <c r="V833" s="47"/>
      <c r="W833" s="47"/>
      <c r="X833" s="47"/>
      <c r="Y833" s="47"/>
      <c r="Z833" s="47"/>
    </row>
    <row r="834" spans="1:26" ht="12.75" customHeight="1">
      <c r="A834" s="47"/>
      <c r="B834" s="47"/>
      <c r="C834" s="47"/>
      <c r="D834" s="47"/>
      <c r="E834" s="47"/>
      <c r="F834" s="47"/>
      <c r="G834" s="47"/>
      <c r="H834" s="84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47"/>
      <c r="U834" s="47"/>
      <c r="V834" s="47"/>
      <c r="W834" s="47"/>
      <c r="X834" s="47"/>
      <c r="Y834" s="47"/>
      <c r="Z834" s="47"/>
    </row>
    <row r="835" spans="1:26" ht="12.75" customHeight="1">
      <c r="A835" s="47"/>
      <c r="B835" s="47"/>
      <c r="C835" s="47"/>
      <c r="D835" s="47"/>
      <c r="E835" s="47"/>
      <c r="F835" s="47"/>
      <c r="G835" s="47"/>
      <c r="H835" s="84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47"/>
      <c r="U835" s="47"/>
      <c r="V835" s="47"/>
      <c r="W835" s="47"/>
      <c r="X835" s="47"/>
      <c r="Y835" s="47"/>
      <c r="Z835" s="47"/>
    </row>
    <row r="836" spans="1:26" ht="12.75" customHeight="1">
      <c r="A836" s="47"/>
      <c r="B836" s="47"/>
      <c r="C836" s="47"/>
      <c r="D836" s="47"/>
      <c r="E836" s="47"/>
      <c r="F836" s="47"/>
      <c r="G836" s="47"/>
      <c r="H836" s="84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47"/>
      <c r="U836" s="47"/>
      <c r="V836" s="47"/>
      <c r="W836" s="47"/>
      <c r="X836" s="47"/>
      <c r="Y836" s="47"/>
      <c r="Z836" s="47"/>
    </row>
    <row r="837" spans="1:26" ht="12.75" customHeight="1">
      <c r="A837" s="47"/>
      <c r="B837" s="47"/>
      <c r="C837" s="47"/>
      <c r="D837" s="47"/>
      <c r="E837" s="47"/>
      <c r="F837" s="47"/>
      <c r="G837" s="47"/>
      <c r="H837" s="84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47"/>
      <c r="U837" s="47"/>
      <c r="V837" s="47"/>
      <c r="W837" s="47"/>
      <c r="X837" s="47"/>
      <c r="Y837" s="47"/>
      <c r="Z837" s="47"/>
    </row>
    <row r="838" spans="1:26" ht="12.75" customHeight="1">
      <c r="A838" s="47"/>
      <c r="B838" s="47"/>
      <c r="C838" s="47"/>
      <c r="D838" s="47"/>
      <c r="E838" s="47"/>
      <c r="F838" s="47"/>
      <c r="G838" s="47"/>
      <c r="H838" s="84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47"/>
      <c r="U838" s="47"/>
      <c r="V838" s="47"/>
      <c r="W838" s="47"/>
      <c r="X838" s="47"/>
      <c r="Y838" s="47"/>
      <c r="Z838" s="47"/>
    </row>
    <row r="839" spans="1:26" ht="12.75" customHeight="1">
      <c r="A839" s="47"/>
      <c r="B839" s="47"/>
      <c r="C839" s="47"/>
      <c r="D839" s="47"/>
      <c r="E839" s="47"/>
      <c r="F839" s="47"/>
      <c r="G839" s="47"/>
      <c r="H839" s="84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47"/>
      <c r="U839" s="47"/>
      <c r="V839" s="47"/>
      <c r="W839" s="47"/>
      <c r="X839" s="47"/>
      <c r="Y839" s="47"/>
      <c r="Z839" s="47"/>
    </row>
    <row r="840" spans="1:26" ht="12.75" customHeight="1">
      <c r="A840" s="47"/>
      <c r="B840" s="47"/>
      <c r="C840" s="47"/>
      <c r="D840" s="47"/>
      <c r="E840" s="47"/>
      <c r="F840" s="47"/>
      <c r="G840" s="47"/>
      <c r="H840" s="84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47"/>
      <c r="U840" s="47"/>
      <c r="V840" s="47"/>
      <c r="W840" s="47"/>
      <c r="X840" s="47"/>
      <c r="Y840" s="47"/>
      <c r="Z840" s="47"/>
    </row>
    <row r="841" spans="1:26" ht="12.75" customHeight="1">
      <c r="A841" s="47"/>
      <c r="B841" s="47"/>
      <c r="C841" s="47"/>
      <c r="D841" s="47"/>
      <c r="E841" s="47"/>
      <c r="F841" s="47"/>
      <c r="G841" s="47"/>
      <c r="H841" s="84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47"/>
      <c r="U841" s="47"/>
      <c r="V841" s="47"/>
      <c r="W841" s="47"/>
      <c r="X841" s="47"/>
      <c r="Y841" s="47"/>
      <c r="Z841" s="47"/>
    </row>
    <row r="842" spans="1:26" ht="12.75" customHeight="1">
      <c r="A842" s="47"/>
      <c r="B842" s="47"/>
      <c r="C842" s="47"/>
      <c r="D842" s="47"/>
      <c r="E842" s="47"/>
      <c r="F842" s="47"/>
      <c r="G842" s="47"/>
      <c r="H842" s="84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47"/>
      <c r="U842" s="47"/>
      <c r="V842" s="47"/>
      <c r="W842" s="47"/>
      <c r="X842" s="47"/>
      <c r="Y842" s="47"/>
      <c r="Z842" s="47"/>
    </row>
    <row r="843" spans="1:26" ht="12.75" customHeight="1">
      <c r="A843" s="47"/>
      <c r="B843" s="47"/>
      <c r="C843" s="47"/>
      <c r="D843" s="47"/>
      <c r="E843" s="47"/>
      <c r="F843" s="47"/>
      <c r="G843" s="47"/>
      <c r="H843" s="84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47"/>
      <c r="U843" s="47"/>
      <c r="V843" s="47"/>
      <c r="W843" s="47"/>
      <c r="X843" s="47"/>
      <c r="Y843" s="47"/>
      <c r="Z843" s="47"/>
    </row>
    <row r="844" spans="1:26" ht="12.75" customHeight="1">
      <c r="A844" s="47"/>
      <c r="B844" s="47"/>
      <c r="C844" s="47"/>
      <c r="D844" s="47"/>
      <c r="E844" s="47"/>
      <c r="F844" s="47"/>
      <c r="G844" s="47"/>
      <c r="H844" s="84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47"/>
      <c r="U844" s="47"/>
      <c r="V844" s="47"/>
      <c r="W844" s="47"/>
      <c r="X844" s="47"/>
      <c r="Y844" s="47"/>
      <c r="Z844" s="47"/>
    </row>
    <row r="845" spans="1:26" ht="12.75" customHeight="1">
      <c r="A845" s="47"/>
      <c r="B845" s="47"/>
      <c r="C845" s="47"/>
      <c r="D845" s="47"/>
      <c r="E845" s="47"/>
      <c r="F845" s="47"/>
      <c r="G845" s="47"/>
      <c r="H845" s="84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47"/>
      <c r="U845" s="47"/>
      <c r="V845" s="47"/>
      <c r="W845" s="47"/>
      <c r="X845" s="47"/>
      <c r="Y845" s="47"/>
      <c r="Z845" s="47"/>
    </row>
    <row r="846" spans="1:26" ht="12.75" customHeight="1">
      <c r="A846" s="47"/>
      <c r="B846" s="47"/>
      <c r="C846" s="47"/>
      <c r="D846" s="47"/>
      <c r="E846" s="47"/>
      <c r="F846" s="47"/>
      <c r="G846" s="47"/>
      <c r="H846" s="84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47"/>
      <c r="U846" s="47"/>
      <c r="V846" s="47"/>
      <c r="W846" s="47"/>
      <c r="X846" s="47"/>
      <c r="Y846" s="47"/>
      <c r="Z846" s="47"/>
    </row>
    <row r="847" spans="1:26" ht="12.75" customHeight="1">
      <c r="A847" s="47"/>
      <c r="B847" s="47"/>
      <c r="C847" s="47"/>
      <c r="D847" s="47"/>
      <c r="E847" s="47"/>
      <c r="F847" s="47"/>
      <c r="G847" s="47"/>
      <c r="H847" s="84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47"/>
      <c r="U847" s="47"/>
      <c r="V847" s="47"/>
      <c r="W847" s="47"/>
      <c r="X847" s="47"/>
      <c r="Y847" s="47"/>
      <c r="Z847" s="47"/>
    </row>
    <row r="848" spans="1:26" ht="12.75" customHeight="1">
      <c r="A848" s="47"/>
      <c r="B848" s="47"/>
      <c r="C848" s="47"/>
      <c r="D848" s="47"/>
      <c r="E848" s="47"/>
      <c r="F848" s="47"/>
      <c r="G848" s="47"/>
      <c r="H848" s="84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47"/>
      <c r="U848" s="47"/>
      <c r="V848" s="47"/>
      <c r="W848" s="47"/>
      <c r="X848" s="47"/>
      <c r="Y848" s="47"/>
      <c r="Z848" s="47"/>
    </row>
    <row r="849" spans="1:26" ht="12.75" customHeight="1">
      <c r="A849" s="47"/>
      <c r="B849" s="47"/>
      <c r="C849" s="47"/>
      <c r="D849" s="47"/>
      <c r="E849" s="47"/>
      <c r="F849" s="47"/>
      <c r="G849" s="47"/>
      <c r="H849" s="84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47"/>
      <c r="U849" s="47"/>
      <c r="V849" s="47"/>
      <c r="W849" s="47"/>
      <c r="X849" s="47"/>
      <c r="Y849" s="47"/>
      <c r="Z849" s="47"/>
    </row>
    <row r="850" spans="1:26" ht="12.75" customHeight="1">
      <c r="A850" s="47"/>
      <c r="B850" s="47"/>
      <c r="C850" s="47"/>
      <c r="D850" s="47"/>
      <c r="E850" s="47"/>
      <c r="F850" s="47"/>
      <c r="G850" s="47"/>
      <c r="H850" s="84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47"/>
      <c r="U850" s="47"/>
      <c r="V850" s="47"/>
      <c r="W850" s="47"/>
      <c r="X850" s="47"/>
      <c r="Y850" s="47"/>
      <c r="Z850" s="47"/>
    </row>
    <row r="851" spans="1:26" ht="12.75" customHeight="1">
      <c r="A851" s="47"/>
      <c r="B851" s="47"/>
      <c r="C851" s="47"/>
      <c r="D851" s="47"/>
      <c r="E851" s="47"/>
      <c r="F851" s="47"/>
      <c r="G851" s="47"/>
      <c r="H851" s="84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47"/>
      <c r="U851" s="47"/>
      <c r="V851" s="47"/>
      <c r="W851" s="47"/>
      <c r="X851" s="47"/>
      <c r="Y851" s="47"/>
      <c r="Z851" s="47"/>
    </row>
    <row r="852" spans="1:26" ht="12.75" customHeight="1">
      <c r="A852" s="47"/>
      <c r="B852" s="47"/>
      <c r="C852" s="47"/>
      <c r="D852" s="47"/>
      <c r="E852" s="47"/>
      <c r="F852" s="47"/>
      <c r="G852" s="47"/>
      <c r="H852" s="84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47"/>
      <c r="U852" s="47"/>
      <c r="V852" s="47"/>
      <c r="W852" s="47"/>
      <c r="X852" s="47"/>
      <c r="Y852" s="47"/>
      <c r="Z852" s="47"/>
    </row>
    <row r="853" spans="1:26" ht="12.75" customHeight="1">
      <c r="A853" s="47"/>
      <c r="B853" s="47"/>
      <c r="C853" s="47"/>
      <c r="D853" s="47"/>
      <c r="E853" s="47"/>
      <c r="F853" s="47"/>
      <c r="G853" s="47"/>
      <c r="H853" s="84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47"/>
      <c r="U853" s="47"/>
      <c r="V853" s="47"/>
      <c r="W853" s="47"/>
      <c r="X853" s="47"/>
      <c r="Y853" s="47"/>
      <c r="Z853" s="47"/>
    </row>
    <row r="854" spans="1:26" ht="12.75" customHeight="1">
      <c r="A854" s="47"/>
      <c r="B854" s="47"/>
      <c r="C854" s="47"/>
      <c r="D854" s="47"/>
      <c r="E854" s="47"/>
      <c r="F854" s="47"/>
      <c r="G854" s="47"/>
      <c r="H854" s="84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47"/>
      <c r="U854" s="47"/>
      <c r="V854" s="47"/>
      <c r="W854" s="47"/>
      <c r="X854" s="47"/>
      <c r="Y854" s="47"/>
      <c r="Z854" s="47"/>
    </row>
    <row r="855" spans="1:26" ht="12.75" customHeight="1">
      <c r="A855" s="47"/>
      <c r="B855" s="47"/>
      <c r="C855" s="47"/>
      <c r="D855" s="47"/>
      <c r="E855" s="47"/>
      <c r="F855" s="47"/>
      <c r="G855" s="47"/>
      <c r="H855" s="84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47"/>
      <c r="U855" s="47"/>
      <c r="V855" s="47"/>
      <c r="W855" s="47"/>
      <c r="X855" s="47"/>
      <c r="Y855" s="47"/>
      <c r="Z855" s="47"/>
    </row>
    <row r="856" spans="1:26" ht="12.75" customHeight="1">
      <c r="A856" s="47"/>
      <c r="B856" s="47"/>
      <c r="C856" s="47"/>
      <c r="D856" s="47"/>
      <c r="E856" s="47"/>
      <c r="F856" s="47"/>
      <c r="G856" s="47"/>
      <c r="H856" s="84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47"/>
      <c r="U856" s="47"/>
      <c r="V856" s="47"/>
      <c r="W856" s="47"/>
      <c r="X856" s="47"/>
      <c r="Y856" s="47"/>
      <c r="Z856" s="47"/>
    </row>
    <row r="857" spans="1:26" ht="12.75" customHeight="1">
      <c r="A857" s="47"/>
      <c r="B857" s="47"/>
      <c r="C857" s="47"/>
      <c r="D857" s="47"/>
      <c r="E857" s="47"/>
      <c r="F857" s="47"/>
      <c r="G857" s="47"/>
      <c r="H857" s="84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47"/>
      <c r="U857" s="47"/>
      <c r="V857" s="47"/>
      <c r="W857" s="47"/>
      <c r="X857" s="47"/>
      <c r="Y857" s="47"/>
      <c r="Z857" s="47"/>
    </row>
    <row r="858" spans="1:26" ht="12.75" customHeight="1">
      <c r="A858" s="47"/>
      <c r="B858" s="47"/>
      <c r="C858" s="47"/>
      <c r="D858" s="47"/>
      <c r="E858" s="47"/>
      <c r="F858" s="47"/>
      <c r="G858" s="47"/>
      <c r="H858" s="84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47"/>
      <c r="U858" s="47"/>
      <c r="V858" s="47"/>
      <c r="W858" s="47"/>
      <c r="X858" s="47"/>
      <c r="Y858" s="47"/>
      <c r="Z858" s="47"/>
    </row>
    <row r="859" spans="1:26" ht="12.75" customHeight="1">
      <c r="A859" s="47"/>
      <c r="B859" s="47"/>
      <c r="C859" s="47"/>
      <c r="D859" s="47"/>
      <c r="E859" s="47"/>
      <c r="F859" s="47"/>
      <c r="G859" s="47"/>
      <c r="H859" s="84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47"/>
      <c r="U859" s="47"/>
      <c r="V859" s="47"/>
      <c r="W859" s="47"/>
      <c r="X859" s="47"/>
      <c r="Y859" s="47"/>
      <c r="Z859" s="47"/>
    </row>
    <row r="860" spans="1:26" ht="12.75" customHeight="1">
      <c r="A860" s="47"/>
      <c r="B860" s="47"/>
      <c r="C860" s="47"/>
      <c r="D860" s="47"/>
      <c r="E860" s="47"/>
      <c r="F860" s="47"/>
      <c r="G860" s="47"/>
      <c r="H860" s="84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47"/>
      <c r="U860" s="47"/>
      <c r="V860" s="47"/>
      <c r="W860" s="47"/>
      <c r="X860" s="47"/>
      <c r="Y860" s="47"/>
      <c r="Z860" s="47"/>
    </row>
    <row r="861" spans="1:26" ht="12.75" customHeight="1">
      <c r="A861" s="47"/>
      <c r="B861" s="47"/>
      <c r="C861" s="47"/>
      <c r="D861" s="47"/>
      <c r="E861" s="47"/>
      <c r="F861" s="47"/>
      <c r="G861" s="47"/>
      <c r="H861" s="84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47"/>
      <c r="U861" s="47"/>
      <c r="V861" s="47"/>
      <c r="W861" s="47"/>
      <c r="X861" s="47"/>
      <c r="Y861" s="47"/>
      <c r="Z861" s="47"/>
    </row>
    <row r="862" spans="1:26" ht="12.75" customHeight="1">
      <c r="A862" s="47"/>
      <c r="B862" s="47"/>
      <c r="C862" s="47"/>
      <c r="D862" s="47"/>
      <c r="E862" s="47"/>
      <c r="F862" s="47"/>
      <c r="G862" s="47"/>
      <c r="H862" s="84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47"/>
      <c r="U862" s="47"/>
      <c r="V862" s="47"/>
      <c r="W862" s="47"/>
      <c r="X862" s="47"/>
      <c r="Y862" s="47"/>
      <c r="Z862" s="47"/>
    </row>
    <row r="863" spans="1:26" ht="12.75" customHeight="1">
      <c r="A863" s="47"/>
      <c r="B863" s="47"/>
      <c r="C863" s="47"/>
      <c r="D863" s="47"/>
      <c r="E863" s="47"/>
      <c r="F863" s="47"/>
      <c r="G863" s="47"/>
      <c r="H863" s="84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47"/>
      <c r="U863" s="47"/>
      <c r="V863" s="47"/>
      <c r="W863" s="47"/>
      <c r="X863" s="47"/>
      <c r="Y863" s="47"/>
      <c r="Z863" s="47"/>
    </row>
    <row r="864" spans="1:26" ht="12.75" customHeight="1">
      <c r="A864" s="47"/>
      <c r="B864" s="47"/>
      <c r="C864" s="47"/>
      <c r="D864" s="47"/>
      <c r="E864" s="47"/>
      <c r="F864" s="47"/>
      <c r="G864" s="47"/>
      <c r="H864" s="84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47"/>
      <c r="U864" s="47"/>
      <c r="V864" s="47"/>
      <c r="W864" s="47"/>
      <c r="X864" s="47"/>
      <c r="Y864" s="47"/>
      <c r="Z864" s="47"/>
    </row>
    <row r="865" spans="1:26" ht="12.75" customHeight="1">
      <c r="A865" s="47"/>
      <c r="B865" s="47"/>
      <c r="C865" s="47"/>
      <c r="D865" s="47"/>
      <c r="E865" s="47"/>
      <c r="F865" s="47"/>
      <c r="G865" s="47"/>
      <c r="H865" s="84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47"/>
      <c r="U865" s="47"/>
      <c r="V865" s="47"/>
      <c r="W865" s="47"/>
      <c r="X865" s="47"/>
      <c r="Y865" s="47"/>
      <c r="Z865" s="47"/>
    </row>
    <row r="866" spans="1:26" ht="12.75" customHeight="1">
      <c r="A866" s="47"/>
      <c r="B866" s="47"/>
      <c r="C866" s="47"/>
      <c r="D866" s="47"/>
      <c r="E866" s="47"/>
      <c r="F866" s="47"/>
      <c r="G866" s="47"/>
      <c r="H866" s="84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47"/>
      <c r="U866" s="47"/>
      <c r="V866" s="47"/>
      <c r="W866" s="47"/>
      <c r="X866" s="47"/>
      <c r="Y866" s="47"/>
      <c r="Z866" s="47"/>
    </row>
    <row r="867" spans="1:26" ht="12.75" customHeight="1">
      <c r="A867" s="47"/>
      <c r="B867" s="47"/>
      <c r="C867" s="47"/>
      <c r="D867" s="47"/>
      <c r="E867" s="47"/>
      <c r="F867" s="47"/>
      <c r="G867" s="47"/>
      <c r="H867" s="84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47"/>
      <c r="U867" s="47"/>
      <c r="V867" s="47"/>
      <c r="W867" s="47"/>
      <c r="X867" s="47"/>
      <c r="Y867" s="47"/>
      <c r="Z867" s="47"/>
    </row>
    <row r="868" spans="1:26" ht="12.75" customHeight="1">
      <c r="A868" s="47"/>
      <c r="B868" s="47"/>
      <c r="C868" s="47"/>
      <c r="D868" s="47"/>
      <c r="E868" s="47"/>
      <c r="F868" s="47"/>
      <c r="G868" s="47"/>
      <c r="H868" s="84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47"/>
      <c r="U868" s="47"/>
      <c r="V868" s="47"/>
      <c r="W868" s="47"/>
      <c r="X868" s="47"/>
      <c r="Y868" s="47"/>
      <c r="Z868" s="47"/>
    </row>
    <row r="869" spans="1:26" ht="12.75" customHeight="1">
      <c r="A869" s="47"/>
      <c r="B869" s="47"/>
      <c r="C869" s="47"/>
      <c r="D869" s="47"/>
      <c r="E869" s="47"/>
      <c r="F869" s="47"/>
      <c r="G869" s="47"/>
      <c r="H869" s="84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47"/>
      <c r="U869" s="47"/>
      <c r="V869" s="47"/>
      <c r="W869" s="47"/>
      <c r="X869" s="47"/>
      <c r="Y869" s="47"/>
      <c r="Z869" s="47"/>
    </row>
    <row r="870" spans="1:26" ht="12.75" customHeight="1">
      <c r="A870" s="47"/>
      <c r="B870" s="47"/>
      <c r="C870" s="47"/>
      <c r="D870" s="47"/>
      <c r="E870" s="47"/>
      <c r="F870" s="47"/>
      <c r="G870" s="47"/>
      <c r="H870" s="84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47"/>
      <c r="U870" s="47"/>
      <c r="V870" s="47"/>
      <c r="W870" s="47"/>
      <c r="X870" s="47"/>
      <c r="Y870" s="47"/>
      <c r="Z870" s="47"/>
    </row>
    <row r="871" spans="1:26" ht="12.75" customHeight="1">
      <c r="A871" s="47"/>
      <c r="B871" s="47"/>
      <c r="C871" s="47"/>
      <c r="D871" s="47"/>
      <c r="E871" s="47"/>
      <c r="F871" s="47"/>
      <c r="G871" s="47"/>
      <c r="H871" s="84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47"/>
      <c r="U871" s="47"/>
      <c r="V871" s="47"/>
      <c r="W871" s="47"/>
      <c r="X871" s="47"/>
      <c r="Y871" s="47"/>
      <c r="Z871" s="47"/>
    </row>
    <row r="872" spans="1:26" ht="12.75" customHeight="1">
      <c r="A872" s="47"/>
      <c r="B872" s="47"/>
      <c r="C872" s="47"/>
      <c r="D872" s="47"/>
      <c r="E872" s="47"/>
      <c r="F872" s="47"/>
      <c r="G872" s="47"/>
      <c r="H872" s="84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47"/>
      <c r="U872" s="47"/>
      <c r="V872" s="47"/>
      <c r="W872" s="47"/>
      <c r="X872" s="47"/>
      <c r="Y872" s="47"/>
      <c r="Z872" s="47"/>
    </row>
    <row r="873" spans="1:26" ht="12.75" customHeight="1">
      <c r="A873" s="47"/>
      <c r="B873" s="47"/>
      <c r="C873" s="47"/>
      <c r="D873" s="47"/>
      <c r="E873" s="47"/>
      <c r="F873" s="47"/>
      <c r="G873" s="47"/>
      <c r="H873" s="84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47"/>
      <c r="U873" s="47"/>
      <c r="V873" s="47"/>
      <c r="W873" s="47"/>
      <c r="X873" s="47"/>
      <c r="Y873" s="47"/>
      <c r="Z873" s="47"/>
    </row>
    <row r="874" spans="1:26" ht="12.75" customHeight="1">
      <c r="A874" s="47"/>
      <c r="B874" s="47"/>
      <c r="C874" s="47"/>
      <c r="D874" s="47"/>
      <c r="E874" s="47"/>
      <c r="F874" s="47"/>
      <c r="G874" s="47"/>
      <c r="H874" s="84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47"/>
      <c r="U874" s="47"/>
      <c r="V874" s="47"/>
      <c r="W874" s="47"/>
      <c r="X874" s="47"/>
      <c r="Y874" s="47"/>
      <c r="Z874" s="47"/>
    </row>
    <row r="875" spans="1:26" ht="12.75" customHeight="1">
      <c r="A875" s="47"/>
      <c r="B875" s="47"/>
      <c r="C875" s="47"/>
      <c r="D875" s="47"/>
      <c r="E875" s="47"/>
      <c r="F875" s="47"/>
      <c r="G875" s="47"/>
      <c r="H875" s="84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47"/>
      <c r="U875" s="47"/>
      <c r="V875" s="47"/>
      <c r="W875" s="47"/>
      <c r="X875" s="47"/>
      <c r="Y875" s="47"/>
      <c r="Z875" s="47"/>
    </row>
    <row r="876" spans="1:26" ht="12.75" customHeight="1">
      <c r="A876" s="47"/>
      <c r="B876" s="47"/>
      <c r="C876" s="47"/>
      <c r="D876" s="47"/>
      <c r="E876" s="47"/>
      <c r="F876" s="47"/>
      <c r="G876" s="47"/>
      <c r="H876" s="84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47"/>
      <c r="U876" s="47"/>
      <c r="V876" s="47"/>
      <c r="W876" s="47"/>
      <c r="X876" s="47"/>
      <c r="Y876" s="47"/>
      <c r="Z876" s="47"/>
    </row>
    <row r="877" spans="1:26" ht="12.75" customHeight="1">
      <c r="A877" s="47"/>
      <c r="B877" s="47"/>
      <c r="C877" s="47"/>
      <c r="D877" s="47"/>
      <c r="E877" s="47"/>
      <c r="F877" s="47"/>
      <c r="G877" s="47"/>
      <c r="H877" s="84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47"/>
      <c r="U877" s="47"/>
      <c r="V877" s="47"/>
      <c r="W877" s="47"/>
      <c r="X877" s="47"/>
      <c r="Y877" s="47"/>
      <c r="Z877" s="47"/>
    </row>
    <row r="878" spans="1:26" ht="12.75" customHeight="1">
      <c r="A878" s="47"/>
      <c r="B878" s="47"/>
      <c r="C878" s="47"/>
      <c r="D878" s="47"/>
      <c r="E878" s="47"/>
      <c r="F878" s="47"/>
      <c r="G878" s="47"/>
      <c r="H878" s="84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47"/>
      <c r="U878" s="47"/>
      <c r="V878" s="47"/>
      <c r="W878" s="47"/>
      <c r="X878" s="47"/>
      <c r="Y878" s="47"/>
      <c r="Z878" s="47"/>
    </row>
    <row r="879" spans="1:26" ht="12.75" customHeight="1">
      <c r="A879" s="47"/>
      <c r="B879" s="47"/>
      <c r="C879" s="47"/>
      <c r="D879" s="47"/>
      <c r="E879" s="47"/>
      <c r="F879" s="47"/>
      <c r="G879" s="47"/>
      <c r="H879" s="84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47"/>
      <c r="U879" s="47"/>
      <c r="V879" s="47"/>
      <c r="W879" s="47"/>
      <c r="X879" s="47"/>
      <c r="Y879" s="47"/>
      <c r="Z879" s="47"/>
    </row>
    <row r="880" spans="1:26" ht="12.75" customHeight="1">
      <c r="A880" s="47"/>
      <c r="B880" s="47"/>
      <c r="C880" s="47"/>
      <c r="D880" s="47"/>
      <c r="E880" s="47"/>
      <c r="F880" s="47"/>
      <c r="G880" s="47"/>
      <c r="H880" s="84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47"/>
      <c r="U880" s="47"/>
      <c r="V880" s="47"/>
      <c r="W880" s="47"/>
      <c r="X880" s="47"/>
      <c r="Y880" s="47"/>
      <c r="Z880" s="47"/>
    </row>
    <row r="881" spans="1:26" ht="12.75" customHeight="1">
      <c r="A881" s="47"/>
      <c r="B881" s="47"/>
      <c r="C881" s="47"/>
      <c r="D881" s="47"/>
      <c r="E881" s="47"/>
      <c r="F881" s="47"/>
      <c r="G881" s="47"/>
      <c r="H881" s="84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47"/>
      <c r="U881" s="47"/>
      <c r="V881" s="47"/>
      <c r="W881" s="47"/>
      <c r="X881" s="47"/>
      <c r="Y881" s="47"/>
      <c r="Z881" s="47"/>
    </row>
    <row r="882" spans="1:26" ht="12.75" customHeight="1">
      <c r="A882" s="47"/>
      <c r="B882" s="47"/>
      <c r="C882" s="47"/>
      <c r="D882" s="47"/>
      <c r="E882" s="47"/>
      <c r="F882" s="47"/>
      <c r="G882" s="47"/>
      <c r="H882" s="84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47"/>
      <c r="U882" s="47"/>
      <c r="V882" s="47"/>
      <c r="W882" s="47"/>
      <c r="X882" s="47"/>
      <c r="Y882" s="47"/>
      <c r="Z882" s="47"/>
    </row>
    <row r="883" spans="1:26" ht="12.75" customHeight="1">
      <c r="A883" s="47"/>
      <c r="B883" s="47"/>
      <c r="C883" s="47"/>
      <c r="D883" s="47"/>
      <c r="E883" s="47"/>
      <c r="F883" s="47"/>
      <c r="G883" s="47"/>
      <c r="H883" s="84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47"/>
      <c r="U883" s="47"/>
      <c r="V883" s="47"/>
      <c r="W883" s="47"/>
      <c r="X883" s="47"/>
      <c r="Y883" s="47"/>
      <c r="Z883" s="47"/>
    </row>
    <row r="884" spans="1:26" ht="12.75" customHeight="1">
      <c r="A884" s="47"/>
      <c r="B884" s="47"/>
      <c r="C884" s="47"/>
      <c r="D884" s="47"/>
      <c r="E884" s="47"/>
      <c r="F884" s="47"/>
      <c r="G884" s="47"/>
      <c r="H884" s="84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47"/>
      <c r="U884" s="47"/>
      <c r="V884" s="47"/>
      <c r="W884" s="47"/>
      <c r="X884" s="47"/>
      <c r="Y884" s="47"/>
      <c r="Z884" s="47"/>
    </row>
    <row r="885" spans="1:26" ht="12.75" customHeight="1">
      <c r="A885" s="47"/>
      <c r="B885" s="47"/>
      <c r="C885" s="47"/>
      <c r="D885" s="47"/>
      <c r="E885" s="47"/>
      <c r="F885" s="47"/>
      <c r="G885" s="47"/>
      <c r="H885" s="84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47"/>
      <c r="U885" s="47"/>
      <c r="V885" s="47"/>
      <c r="W885" s="47"/>
      <c r="X885" s="47"/>
      <c r="Y885" s="47"/>
      <c r="Z885" s="47"/>
    </row>
    <row r="886" spans="1:26" ht="12.75" customHeight="1">
      <c r="A886" s="47"/>
      <c r="B886" s="47"/>
      <c r="C886" s="47"/>
      <c r="D886" s="47"/>
      <c r="E886" s="47"/>
      <c r="F886" s="47"/>
      <c r="G886" s="47"/>
      <c r="H886" s="84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47"/>
      <c r="U886" s="47"/>
      <c r="V886" s="47"/>
      <c r="W886" s="47"/>
      <c r="X886" s="47"/>
      <c r="Y886" s="47"/>
      <c r="Z886" s="47"/>
    </row>
    <row r="887" spans="1:26" ht="12.75" customHeight="1">
      <c r="A887" s="47"/>
      <c r="B887" s="47"/>
      <c r="C887" s="47"/>
      <c r="D887" s="47"/>
      <c r="E887" s="47"/>
      <c r="F887" s="47"/>
      <c r="G887" s="47"/>
      <c r="H887" s="84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47"/>
      <c r="U887" s="47"/>
      <c r="V887" s="47"/>
      <c r="W887" s="47"/>
      <c r="X887" s="47"/>
      <c r="Y887" s="47"/>
      <c r="Z887" s="47"/>
    </row>
    <row r="888" spans="1:26" ht="12.75" customHeight="1">
      <c r="A888" s="47"/>
      <c r="B888" s="47"/>
      <c r="C888" s="47"/>
      <c r="D888" s="47"/>
      <c r="E888" s="47"/>
      <c r="F888" s="47"/>
      <c r="G888" s="47"/>
      <c r="H888" s="84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47"/>
      <c r="U888" s="47"/>
      <c r="V888" s="47"/>
      <c r="W888" s="47"/>
      <c r="X888" s="47"/>
      <c r="Y888" s="47"/>
      <c r="Z888" s="47"/>
    </row>
    <row r="889" spans="1:26" ht="12.75" customHeight="1">
      <c r="A889" s="47"/>
      <c r="B889" s="47"/>
      <c r="C889" s="47"/>
      <c r="D889" s="47"/>
      <c r="E889" s="47"/>
      <c r="F889" s="47"/>
      <c r="G889" s="47"/>
      <c r="H889" s="84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47"/>
      <c r="U889" s="47"/>
      <c r="V889" s="47"/>
      <c r="W889" s="47"/>
      <c r="X889" s="47"/>
      <c r="Y889" s="47"/>
      <c r="Z889" s="47"/>
    </row>
    <row r="890" spans="1:26" ht="12.75" customHeight="1">
      <c r="A890" s="47"/>
      <c r="B890" s="47"/>
      <c r="C890" s="47"/>
      <c r="D890" s="47"/>
      <c r="E890" s="47"/>
      <c r="F890" s="47"/>
      <c r="G890" s="47"/>
      <c r="H890" s="84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47"/>
      <c r="U890" s="47"/>
      <c r="V890" s="47"/>
      <c r="W890" s="47"/>
      <c r="X890" s="47"/>
      <c r="Y890" s="47"/>
      <c r="Z890" s="47"/>
    </row>
    <row r="891" spans="1:26" ht="12.75" customHeight="1">
      <c r="A891" s="47"/>
      <c r="B891" s="47"/>
      <c r="C891" s="47"/>
      <c r="D891" s="47"/>
      <c r="E891" s="47"/>
      <c r="F891" s="47"/>
      <c r="G891" s="47"/>
      <c r="H891" s="84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47"/>
      <c r="U891" s="47"/>
      <c r="V891" s="47"/>
      <c r="W891" s="47"/>
      <c r="X891" s="47"/>
      <c r="Y891" s="47"/>
      <c r="Z891" s="47"/>
    </row>
    <row r="892" spans="1:26" ht="12.75" customHeight="1">
      <c r="A892" s="47"/>
      <c r="B892" s="47"/>
      <c r="C892" s="47"/>
      <c r="D892" s="47"/>
      <c r="E892" s="47"/>
      <c r="F892" s="47"/>
      <c r="G892" s="47"/>
      <c r="H892" s="84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47"/>
      <c r="U892" s="47"/>
      <c r="V892" s="47"/>
      <c r="W892" s="47"/>
      <c r="X892" s="47"/>
      <c r="Y892" s="47"/>
      <c r="Z892" s="47"/>
    </row>
    <row r="893" spans="1:26" ht="12.75" customHeight="1">
      <c r="A893" s="47"/>
      <c r="B893" s="47"/>
      <c r="C893" s="47"/>
      <c r="D893" s="47"/>
      <c r="E893" s="47"/>
      <c r="F893" s="47"/>
      <c r="G893" s="47"/>
      <c r="H893" s="84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47"/>
      <c r="U893" s="47"/>
      <c r="V893" s="47"/>
      <c r="W893" s="47"/>
      <c r="X893" s="47"/>
      <c r="Y893" s="47"/>
      <c r="Z893" s="47"/>
    </row>
    <row r="894" spans="1:26" ht="12.75" customHeight="1">
      <c r="A894" s="47"/>
      <c r="B894" s="47"/>
      <c r="C894" s="47"/>
      <c r="D894" s="47"/>
      <c r="E894" s="47"/>
      <c r="F894" s="47"/>
      <c r="G894" s="47"/>
      <c r="H894" s="84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47"/>
      <c r="U894" s="47"/>
      <c r="V894" s="47"/>
      <c r="W894" s="47"/>
      <c r="X894" s="47"/>
      <c r="Y894" s="47"/>
      <c r="Z894" s="47"/>
    </row>
    <row r="895" spans="1:26" ht="12.75" customHeight="1">
      <c r="A895" s="47"/>
      <c r="B895" s="47"/>
      <c r="C895" s="47"/>
      <c r="D895" s="47"/>
      <c r="E895" s="47"/>
      <c r="F895" s="47"/>
      <c r="G895" s="47"/>
      <c r="H895" s="84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47"/>
      <c r="U895" s="47"/>
      <c r="V895" s="47"/>
      <c r="W895" s="47"/>
      <c r="X895" s="47"/>
      <c r="Y895" s="47"/>
      <c r="Z895" s="47"/>
    </row>
    <row r="896" spans="1:26" ht="12.75" customHeight="1">
      <c r="A896" s="47"/>
      <c r="B896" s="47"/>
      <c r="C896" s="47"/>
      <c r="D896" s="47"/>
      <c r="E896" s="47"/>
      <c r="F896" s="47"/>
      <c r="G896" s="47"/>
      <c r="H896" s="84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47"/>
      <c r="U896" s="47"/>
      <c r="V896" s="47"/>
      <c r="W896" s="47"/>
      <c r="X896" s="47"/>
      <c r="Y896" s="47"/>
      <c r="Z896" s="47"/>
    </row>
    <row r="897" spans="1:26" ht="12.75" customHeight="1">
      <c r="A897" s="47"/>
      <c r="B897" s="47"/>
      <c r="C897" s="47"/>
      <c r="D897" s="47"/>
      <c r="E897" s="47"/>
      <c r="F897" s="47"/>
      <c r="G897" s="47"/>
      <c r="H897" s="84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47"/>
      <c r="U897" s="47"/>
      <c r="V897" s="47"/>
      <c r="W897" s="47"/>
      <c r="X897" s="47"/>
      <c r="Y897" s="47"/>
      <c r="Z897" s="47"/>
    </row>
    <row r="898" spans="1:26" ht="12.75" customHeight="1">
      <c r="A898" s="47"/>
      <c r="B898" s="47"/>
      <c r="C898" s="47"/>
      <c r="D898" s="47"/>
      <c r="E898" s="47"/>
      <c r="F898" s="47"/>
      <c r="G898" s="47"/>
      <c r="H898" s="84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47"/>
      <c r="U898" s="47"/>
      <c r="V898" s="47"/>
      <c r="W898" s="47"/>
      <c r="X898" s="47"/>
      <c r="Y898" s="47"/>
      <c r="Z898" s="47"/>
    </row>
    <row r="899" spans="1:26" ht="12.75" customHeight="1">
      <c r="A899" s="47"/>
      <c r="B899" s="47"/>
      <c r="C899" s="47"/>
      <c r="D899" s="47"/>
      <c r="E899" s="47"/>
      <c r="F899" s="47"/>
      <c r="G899" s="47"/>
      <c r="H899" s="84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47"/>
      <c r="U899" s="47"/>
      <c r="V899" s="47"/>
      <c r="W899" s="47"/>
      <c r="X899" s="47"/>
      <c r="Y899" s="47"/>
      <c r="Z899" s="47"/>
    </row>
    <row r="900" spans="1:26" ht="12.75" customHeight="1">
      <c r="A900" s="47"/>
      <c r="B900" s="47"/>
      <c r="C900" s="47"/>
      <c r="D900" s="47"/>
      <c r="E900" s="47"/>
      <c r="F900" s="47"/>
      <c r="G900" s="47"/>
      <c r="H900" s="84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47"/>
      <c r="U900" s="47"/>
      <c r="V900" s="47"/>
      <c r="W900" s="47"/>
      <c r="X900" s="47"/>
      <c r="Y900" s="47"/>
      <c r="Z900" s="47"/>
    </row>
    <row r="901" spans="1:26" ht="12.75" customHeight="1">
      <c r="A901" s="47"/>
      <c r="B901" s="47"/>
      <c r="C901" s="47"/>
      <c r="D901" s="47"/>
      <c r="E901" s="47"/>
      <c r="F901" s="47"/>
      <c r="G901" s="47"/>
      <c r="H901" s="84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47"/>
      <c r="U901" s="47"/>
      <c r="V901" s="47"/>
      <c r="W901" s="47"/>
      <c r="X901" s="47"/>
      <c r="Y901" s="47"/>
      <c r="Z901" s="47"/>
    </row>
    <row r="902" spans="1:26" ht="12.75" customHeight="1">
      <c r="A902" s="47"/>
      <c r="B902" s="47"/>
      <c r="C902" s="47"/>
      <c r="D902" s="47"/>
      <c r="E902" s="47"/>
      <c r="F902" s="47"/>
      <c r="G902" s="47"/>
      <c r="H902" s="84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47"/>
      <c r="U902" s="47"/>
      <c r="V902" s="47"/>
      <c r="W902" s="47"/>
      <c r="X902" s="47"/>
      <c r="Y902" s="47"/>
      <c r="Z902" s="47"/>
    </row>
    <row r="903" spans="1:26" ht="12.75" customHeight="1">
      <c r="A903" s="47"/>
      <c r="B903" s="47"/>
      <c r="C903" s="47"/>
      <c r="D903" s="47"/>
      <c r="E903" s="47"/>
      <c r="F903" s="47"/>
      <c r="G903" s="47"/>
      <c r="H903" s="84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47"/>
      <c r="U903" s="47"/>
      <c r="V903" s="47"/>
      <c r="W903" s="47"/>
      <c r="X903" s="47"/>
      <c r="Y903" s="47"/>
      <c r="Z903" s="47"/>
    </row>
    <row r="904" spans="1:26" ht="12.75" customHeight="1">
      <c r="A904" s="47"/>
      <c r="B904" s="47"/>
      <c r="C904" s="47"/>
      <c r="D904" s="47"/>
      <c r="E904" s="47"/>
      <c r="F904" s="47"/>
      <c r="G904" s="47"/>
      <c r="H904" s="84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47"/>
      <c r="U904" s="47"/>
      <c r="V904" s="47"/>
      <c r="W904" s="47"/>
      <c r="X904" s="47"/>
      <c r="Y904" s="47"/>
      <c r="Z904" s="47"/>
    </row>
    <row r="905" spans="1:26" ht="12.75" customHeight="1">
      <c r="A905" s="47"/>
      <c r="B905" s="47"/>
      <c r="C905" s="47"/>
      <c r="D905" s="47"/>
      <c r="E905" s="47"/>
      <c r="F905" s="47"/>
      <c r="G905" s="47"/>
      <c r="H905" s="84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47"/>
      <c r="U905" s="47"/>
      <c r="V905" s="47"/>
      <c r="W905" s="47"/>
      <c r="X905" s="47"/>
      <c r="Y905" s="47"/>
      <c r="Z905" s="47"/>
    </row>
    <row r="906" spans="1:26" ht="12.75" customHeight="1">
      <c r="A906" s="47"/>
      <c r="B906" s="47"/>
      <c r="C906" s="47"/>
      <c r="D906" s="47"/>
      <c r="E906" s="47"/>
      <c r="F906" s="47"/>
      <c r="G906" s="47"/>
      <c r="H906" s="84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47"/>
      <c r="U906" s="47"/>
      <c r="V906" s="47"/>
      <c r="W906" s="47"/>
      <c r="X906" s="47"/>
      <c r="Y906" s="47"/>
      <c r="Z906" s="47"/>
    </row>
    <row r="907" spans="1:26" ht="12.75" customHeight="1">
      <c r="A907" s="47"/>
      <c r="B907" s="47"/>
      <c r="C907" s="47"/>
      <c r="D907" s="47"/>
      <c r="E907" s="47"/>
      <c r="F907" s="47"/>
      <c r="G907" s="47"/>
      <c r="H907" s="84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47"/>
      <c r="U907" s="47"/>
      <c r="V907" s="47"/>
      <c r="W907" s="47"/>
      <c r="X907" s="47"/>
      <c r="Y907" s="47"/>
      <c r="Z907" s="47"/>
    </row>
    <row r="908" spans="1:26" ht="12.75" customHeight="1">
      <c r="A908" s="47"/>
      <c r="B908" s="47"/>
      <c r="C908" s="47"/>
      <c r="D908" s="47"/>
      <c r="E908" s="47"/>
      <c r="F908" s="47"/>
      <c r="G908" s="47"/>
      <c r="H908" s="84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47"/>
      <c r="U908" s="47"/>
      <c r="V908" s="47"/>
      <c r="W908" s="47"/>
      <c r="X908" s="47"/>
      <c r="Y908" s="47"/>
      <c r="Z908" s="47"/>
    </row>
    <row r="909" spans="1:26" ht="12.75" customHeight="1">
      <c r="A909" s="47"/>
      <c r="B909" s="47"/>
      <c r="C909" s="47"/>
      <c r="D909" s="47"/>
      <c r="E909" s="47"/>
      <c r="F909" s="47"/>
      <c r="G909" s="47"/>
      <c r="H909" s="84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47"/>
      <c r="U909" s="47"/>
      <c r="V909" s="47"/>
      <c r="W909" s="47"/>
      <c r="X909" s="47"/>
      <c r="Y909" s="47"/>
      <c r="Z909" s="47"/>
    </row>
    <row r="910" spans="1:26" ht="12.75" customHeight="1">
      <c r="A910" s="47"/>
      <c r="B910" s="47"/>
      <c r="C910" s="47"/>
      <c r="D910" s="47"/>
      <c r="E910" s="47"/>
      <c r="F910" s="47"/>
      <c r="G910" s="47"/>
      <c r="H910" s="84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47"/>
      <c r="U910" s="47"/>
      <c r="V910" s="47"/>
      <c r="W910" s="47"/>
      <c r="X910" s="47"/>
      <c r="Y910" s="47"/>
      <c r="Z910" s="47"/>
    </row>
    <row r="911" spans="1:26" ht="12.75" customHeight="1">
      <c r="A911" s="47"/>
      <c r="B911" s="47"/>
      <c r="C911" s="47"/>
      <c r="D911" s="47"/>
      <c r="E911" s="47"/>
      <c r="F911" s="47"/>
      <c r="G911" s="47"/>
      <c r="H911" s="84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47"/>
      <c r="U911" s="47"/>
      <c r="V911" s="47"/>
      <c r="W911" s="47"/>
      <c r="X911" s="47"/>
      <c r="Y911" s="47"/>
      <c r="Z911" s="47"/>
    </row>
    <row r="912" spans="1:26" ht="12.75" customHeight="1">
      <c r="A912" s="47"/>
      <c r="B912" s="47"/>
      <c r="C912" s="47"/>
      <c r="D912" s="47"/>
      <c r="E912" s="47"/>
      <c r="F912" s="47"/>
      <c r="G912" s="47"/>
      <c r="H912" s="84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47"/>
      <c r="U912" s="47"/>
      <c r="V912" s="47"/>
      <c r="W912" s="47"/>
      <c r="X912" s="47"/>
      <c r="Y912" s="47"/>
      <c r="Z912" s="47"/>
    </row>
    <row r="913" spans="1:26" ht="12.75" customHeight="1">
      <c r="A913" s="47"/>
      <c r="B913" s="47"/>
      <c r="C913" s="47"/>
      <c r="D913" s="47"/>
      <c r="E913" s="47"/>
      <c r="F913" s="47"/>
      <c r="G913" s="47"/>
      <c r="H913" s="84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47"/>
      <c r="U913" s="47"/>
      <c r="V913" s="47"/>
      <c r="W913" s="47"/>
      <c r="X913" s="47"/>
      <c r="Y913" s="47"/>
      <c r="Z913" s="47"/>
    </row>
    <row r="914" spans="1:26" ht="12.75" customHeight="1">
      <c r="A914" s="47"/>
      <c r="B914" s="47"/>
      <c r="C914" s="47"/>
      <c r="D914" s="47"/>
      <c r="E914" s="47"/>
      <c r="F914" s="47"/>
      <c r="G914" s="47"/>
      <c r="H914" s="84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47"/>
      <c r="U914" s="47"/>
      <c r="V914" s="47"/>
      <c r="W914" s="47"/>
      <c r="X914" s="47"/>
      <c r="Y914" s="47"/>
      <c r="Z914" s="47"/>
    </row>
    <row r="915" spans="1:26" ht="12.75" customHeight="1">
      <c r="A915" s="47"/>
      <c r="B915" s="47"/>
      <c r="C915" s="47"/>
      <c r="D915" s="47"/>
      <c r="E915" s="47"/>
      <c r="F915" s="47"/>
      <c r="G915" s="47"/>
      <c r="H915" s="84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47"/>
      <c r="U915" s="47"/>
      <c r="V915" s="47"/>
      <c r="W915" s="47"/>
      <c r="X915" s="47"/>
      <c r="Y915" s="47"/>
      <c r="Z915" s="47"/>
    </row>
    <row r="916" spans="1:26" ht="12.75" customHeight="1">
      <c r="A916" s="47"/>
      <c r="B916" s="47"/>
      <c r="C916" s="47"/>
      <c r="D916" s="47"/>
      <c r="E916" s="47"/>
      <c r="F916" s="47"/>
      <c r="G916" s="47"/>
      <c r="H916" s="84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47"/>
      <c r="U916" s="47"/>
      <c r="V916" s="47"/>
      <c r="W916" s="47"/>
      <c r="X916" s="47"/>
      <c r="Y916" s="47"/>
      <c r="Z916" s="47"/>
    </row>
    <row r="917" spans="1:26" ht="12.75" customHeight="1">
      <c r="A917" s="47"/>
      <c r="B917" s="47"/>
      <c r="C917" s="47"/>
      <c r="D917" s="47"/>
      <c r="E917" s="47"/>
      <c r="F917" s="47"/>
      <c r="G917" s="47"/>
      <c r="H917" s="84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47"/>
      <c r="U917" s="47"/>
      <c r="V917" s="47"/>
      <c r="W917" s="47"/>
      <c r="X917" s="47"/>
      <c r="Y917" s="47"/>
      <c r="Z917" s="47"/>
    </row>
    <row r="918" spans="1:26" ht="12.75" customHeight="1">
      <c r="A918" s="47"/>
      <c r="B918" s="47"/>
      <c r="C918" s="47"/>
      <c r="D918" s="47"/>
      <c r="E918" s="47"/>
      <c r="F918" s="47"/>
      <c r="G918" s="47"/>
      <c r="H918" s="84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47"/>
      <c r="U918" s="47"/>
      <c r="V918" s="47"/>
      <c r="W918" s="47"/>
      <c r="X918" s="47"/>
      <c r="Y918" s="47"/>
      <c r="Z918" s="47"/>
    </row>
    <row r="919" spans="1:26" ht="12.75" customHeight="1">
      <c r="A919" s="47"/>
      <c r="B919" s="47"/>
      <c r="C919" s="47"/>
      <c r="D919" s="47"/>
      <c r="E919" s="47"/>
      <c r="F919" s="47"/>
      <c r="G919" s="47"/>
      <c r="H919" s="84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47"/>
      <c r="U919" s="47"/>
      <c r="V919" s="47"/>
      <c r="W919" s="47"/>
      <c r="X919" s="47"/>
      <c r="Y919" s="47"/>
      <c r="Z919" s="47"/>
    </row>
    <row r="920" spans="1:26" ht="12.75" customHeight="1">
      <c r="A920" s="47"/>
      <c r="B920" s="47"/>
      <c r="C920" s="47"/>
      <c r="D920" s="47"/>
      <c r="E920" s="47"/>
      <c r="F920" s="47"/>
      <c r="G920" s="47"/>
      <c r="H920" s="84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47"/>
      <c r="U920" s="47"/>
      <c r="V920" s="47"/>
      <c r="W920" s="47"/>
      <c r="X920" s="47"/>
      <c r="Y920" s="47"/>
      <c r="Z920" s="47"/>
    </row>
    <row r="921" spans="1:26" ht="12.75" customHeight="1">
      <c r="A921" s="47"/>
      <c r="B921" s="47"/>
      <c r="C921" s="47"/>
      <c r="D921" s="47"/>
      <c r="E921" s="47"/>
      <c r="F921" s="47"/>
      <c r="G921" s="47"/>
      <c r="H921" s="84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47"/>
      <c r="U921" s="47"/>
      <c r="V921" s="47"/>
      <c r="W921" s="47"/>
      <c r="X921" s="47"/>
      <c r="Y921" s="47"/>
      <c r="Z921" s="47"/>
    </row>
    <row r="922" spans="1:26" ht="12.75" customHeight="1">
      <c r="A922" s="47"/>
      <c r="B922" s="47"/>
      <c r="C922" s="47"/>
      <c r="D922" s="47"/>
      <c r="E922" s="47"/>
      <c r="F922" s="47"/>
      <c r="G922" s="47"/>
      <c r="H922" s="84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47"/>
      <c r="U922" s="47"/>
      <c r="V922" s="47"/>
      <c r="W922" s="47"/>
      <c r="X922" s="47"/>
      <c r="Y922" s="47"/>
      <c r="Z922" s="47"/>
    </row>
    <row r="923" spans="1:26" ht="12.75" customHeight="1">
      <c r="A923" s="47"/>
      <c r="B923" s="47"/>
      <c r="C923" s="47"/>
      <c r="D923" s="47"/>
      <c r="E923" s="47"/>
      <c r="F923" s="47"/>
      <c r="G923" s="47"/>
      <c r="H923" s="84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47"/>
      <c r="U923" s="47"/>
      <c r="V923" s="47"/>
      <c r="W923" s="47"/>
      <c r="X923" s="47"/>
      <c r="Y923" s="47"/>
      <c r="Z923" s="47"/>
    </row>
    <row r="924" spans="1:26" ht="12.75" customHeight="1">
      <c r="A924" s="47"/>
      <c r="B924" s="47"/>
      <c r="C924" s="47"/>
      <c r="D924" s="47"/>
      <c r="E924" s="47"/>
      <c r="F924" s="47"/>
      <c r="G924" s="47"/>
      <c r="H924" s="84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47"/>
      <c r="U924" s="47"/>
      <c r="V924" s="47"/>
      <c r="W924" s="47"/>
      <c r="X924" s="47"/>
      <c r="Y924" s="47"/>
      <c r="Z924" s="47"/>
    </row>
    <row r="925" spans="1:26" ht="12.75" customHeight="1">
      <c r="A925" s="47"/>
      <c r="B925" s="47"/>
      <c r="C925" s="47"/>
      <c r="D925" s="47"/>
      <c r="E925" s="47"/>
      <c r="F925" s="47"/>
      <c r="G925" s="47"/>
      <c r="H925" s="84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47"/>
      <c r="U925" s="47"/>
      <c r="V925" s="47"/>
      <c r="W925" s="47"/>
      <c r="X925" s="47"/>
      <c r="Y925" s="47"/>
      <c r="Z925" s="47"/>
    </row>
    <row r="926" spans="1:26" ht="12.75" customHeight="1">
      <c r="A926" s="47"/>
      <c r="B926" s="47"/>
      <c r="C926" s="47"/>
      <c r="D926" s="47"/>
      <c r="E926" s="47"/>
      <c r="F926" s="47"/>
      <c r="G926" s="47"/>
      <c r="H926" s="84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47"/>
      <c r="U926" s="47"/>
      <c r="V926" s="47"/>
      <c r="W926" s="47"/>
      <c r="X926" s="47"/>
      <c r="Y926" s="47"/>
      <c r="Z926" s="47"/>
    </row>
    <row r="927" spans="1:26" ht="12.75" customHeight="1">
      <c r="A927" s="47"/>
      <c r="B927" s="47"/>
      <c r="C927" s="47"/>
      <c r="D927" s="47"/>
      <c r="E927" s="47"/>
      <c r="F927" s="47"/>
      <c r="G927" s="47"/>
      <c r="H927" s="84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47"/>
      <c r="U927" s="47"/>
      <c r="V927" s="47"/>
      <c r="W927" s="47"/>
      <c r="X927" s="47"/>
      <c r="Y927" s="47"/>
      <c r="Z927" s="47"/>
    </row>
    <row r="928" spans="1:26" ht="12.75" customHeight="1">
      <c r="A928" s="47"/>
      <c r="B928" s="47"/>
      <c r="C928" s="47"/>
      <c r="D928" s="47"/>
      <c r="E928" s="47"/>
      <c r="F928" s="47"/>
      <c r="G928" s="47"/>
      <c r="H928" s="84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47"/>
      <c r="U928" s="47"/>
      <c r="V928" s="47"/>
      <c r="W928" s="47"/>
      <c r="X928" s="47"/>
      <c r="Y928" s="47"/>
      <c r="Z928" s="47"/>
    </row>
    <row r="929" spans="1:26" ht="12.75" customHeight="1">
      <c r="A929" s="47"/>
      <c r="B929" s="47"/>
      <c r="C929" s="47"/>
      <c r="D929" s="47"/>
      <c r="E929" s="47"/>
      <c r="F929" s="47"/>
      <c r="G929" s="47"/>
      <c r="H929" s="84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47"/>
      <c r="U929" s="47"/>
      <c r="V929" s="47"/>
      <c r="W929" s="47"/>
      <c r="X929" s="47"/>
      <c r="Y929" s="47"/>
      <c r="Z929" s="47"/>
    </row>
    <row r="930" spans="1:26" ht="12.75" customHeight="1">
      <c r="A930" s="47"/>
      <c r="B930" s="47"/>
      <c r="C930" s="47"/>
      <c r="D930" s="47"/>
      <c r="E930" s="47"/>
      <c r="F930" s="47"/>
      <c r="G930" s="47"/>
      <c r="H930" s="84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47"/>
      <c r="U930" s="47"/>
      <c r="V930" s="47"/>
      <c r="W930" s="47"/>
      <c r="X930" s="47"/>
      <c r="Y930" s="47"/>
      <c r="Z930" s="47"/>
    </row>
    <row r="931" spans="1:26" ht="12.75" customHeight="1">
      <c r="A931" s="47"/>
      <c r="B931" s="47"/>
      <c r="C931" s="47"/>
      <c r="D931" s="47"/>
      <c r="E931" s="47"/>
      <c r="F931" s="47"/>
      <c r="G931" s="47"/>
      <c r="H931" s="84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47"/>
      <c r="B932" s="47"/>
      <c r="C932" s="47"/>
      <c r="D932" s="47"/>
      <c r="E932" s="47"/>
      <c r="F932" s="47"/>
      <c r="G932" s="47"/>
      <c r="H932" s="84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47"/>
      <c r="B933" s="47"/>
      <c r="C933" s="47"/>
      <c r="D933" s="47"/>
      <c r="E933" s="47"/>
      <c r="F933" s="47"/>
      <c r="G933" s="47"/>
      <c r="H933" s="84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47"/>
      <c r="B934" s="47"/>
      <c r="C934" s="47"/>
      <c r="D934" s="47"/>
      <c r="E934" s="47"/>
      <c r="F934" s="47"/>
      <c r="G934" s="47"/>
      <c r="H934" s="84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47"/>
      <c r="B935" s="47"/>
      <c r="C935" s="47"/>
      <c r="D935" s="47"/>
      <c r="E935" s="47"/>
      <c r="F935" s="47"/>
      <c r="G935" s="47"/>
      <c r="H935" s="84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47"/>
      <c r="B936" s="47"/>
      <c r="C936" s="47"/>
      <c r="D936" s="47"/>
      <c r="E936" s="47"/>
      <c r="F936" s="47"/>
      <c r="G936" s="47"/>
      <c r="H936" s="84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47"/>
      <c r="B937" s="47"/>
      <c r="C937" s="47"/>
      <c r="D937" s="47"/>
      <c r="E937" s="47"/>
      <c r="F937" s="47"/>
      <c r="G937" s="47"/>
      <c r="H937" s="84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47"/>
      <c r="B938" s="47"/>
      <c r="C938" s="47"/>
      <c r="D938" s="47"/>
      <c r="E938" s="47"/>
      <c r="F938" s="47"/>
      <c r="G938" s="47"/>
      <c r="H938" s="84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47"/>
      <c r="B939" s="47"/>
      <c r="C939" s="47"/>
      <c r="D939" s="47"/>
      <c r="E939" s="47"/>
      <c r="F939" s="47"/>
      <c r="G939" s="47"/>
      <c r="H939" s="84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47"/>
      <c r="B940" s="47"/>
      <c r="C940" s="47"/>
      <c r="D940" s="47"/>
      <c r="E940" s="47"/>
      <c r="F940" s="47"/>
      <c r="G940" s="47"/>
      <c r="H940" s="84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47"/>
      <c r="B941" s="47"/>
      <c r="C941" s="47"/>
      <c r="D941" s="47"/>
      <c r="E941" s="47"/>
      <c r="F941" s="47"/>
      <c r="G941" s="47"/>
      <c r="H941" s="84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47"/>
      <c r="B942" s="47"/>
      <c r="C942" s="47"/>
      <c r="D942" s="47"/>
      <c r="E942" s="47"/>
      <c r="F942" s="47"/>
      <c r="G942" s="47"/>
      <c r="H942" s="84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47"/>
      <c r="B943" s="47"/>
      <c r="C943" s="47"/>
      <c r="D943" s="47"/>
      <c r="E943" s="47"/>
      <c r="F943" s="47"/>
      <c r="G943" s="47"/>
      <c r="H943" s="84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47"/>
      <c r="B944" s="47"/>
      <c r="C944" s="47"/>
      <c r="D944" s="47"/>
      <c r="E944" s="47"/>
      <c r="F944" s="47"/>
      <c r="G944" s="47"/>
      <c r="H944" s="84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47"/>
      <c r="U944" s="47"/>
      <c r="V944" s="47"/>
      <c r="W944" s="47"/>
      <c r="X944" s="47"/>
      <c r="Y944" s="47"/>
      <c r="Z944" s="47"/>
    </row>
    <row r="945" spans="1:26" ht="12.75" customHeight="1">
      <c r="A945" s="47"/>
      <c r="B945" s="47"/>
      <c r="C945" s="47"/>
      <c r="D945" s="47"/>
      <c r="E945" s="47"/>
      <c r="F945" s="47"/>
      <c r="G945" s="47"/>
      <c r="H945" s="84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47"/>
      <c r="U945" s="47"/>
      <c r="V945" s="47"/>
      <c r="W945" s="47"/>
      <c r="X945" s="47"/>
      <c r="Y945" s="47"/>
      <c r="Z945" s="47"/>
    </row>
    <row r="946" spans="1:26" ht="12.75" customHeight="1">
      <c r="A946" s="47"/>
      <c r="B946" s="47"/>
      <c r="C946" s="47"/>
      <c r="D946" s="47"/>
      <c r="E946" s="47"/>
      <c r="F946" s="47"/>
      <c r="G946" s="47"/>
      <c r="H946" s="84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47"/>
      <c r="U946" s="47"/>
      <c r="V946" s="47"/>
      <c r="W946" s="47"/>
      <c r="X946" s="47"/>
      <c r="Y946" s="47"/>
      <c r="Z946" s="47"/>
    </row>
    <row r="947" spans="1:26" ht="12.75" customHeight="1">
      <c r="A947" s="47"/>
      <c r="B947" s="47"/>
      <c r="C947" s="47"/>
      <c r="D947" s="47"/>
      <c r="E947" s="47"/>
      <c r="F947" s="47"/>
      <c r="G947" s="47"/>
      <c r="H947" s="84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47"/>
      <c r="U947" s="47"/>
      <c r="V947" s="47"/>
      <c r="W947" s="47"/>
      <c r="X947" s="47"/>
      <c r="Y947" s="47"/>
      <c r="Z947" s="47"/>
    </row>
    <row r="948" spans="1:26" ht="12.75" customHeight="1">
      <c r="A948" s="47"/>
      <c r="B948" s="47"/>
      <c r="C948" s="47"/>
      <c r="D948" s="47"/>
      <c r="E948" s="47"/>
      <c r="F948" s="47"/>
      <c r="G948" s="47"/>
      <c r="H948" s="84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47"/>
      <c r="U948" s="47"/>
      <c r="V948" s="47"/>
      <c r="W948" s="47"/>
      <c r="X948" s="47"/>
      <c r="Y948" s="47"/>
      <c r="Z948" s="47"/>
    </row>
    <row r="949" spans="1:26" ht="12.75" customHeight="1">
      <c r="A949" s="47"/>
      <c r="B949" s="47"/>
      <c r="C949" s="47"/>
      <c r="D949" s="47"/>
      <c r="E949" s="47"/>
      <c r="F949" s="47"/>
      <c r="G949" s="47"/>
      <c r="H949" s="84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47"/>
      <c r="U949" s="47"/>
      <c r="V949" s="47"/>
      <c r="W949" s="47"/>
      <c r="X949" s="47"/>
      <c r="Y949" s="47"/>
      <c r="Z949" s="47"/>
    </row>
    <row r="950" spans="1:26" ht="12.75" customHeight="1">
      <c r="A950" s="47"/>
      <c r="B950" s="47"/>
      <c r="C950" s="47"/>
      <c r="D950" s="47"/>
      <c r="E950" s="47"/>
      <c r="F950" s="47"/>
      <c r="G950" s="47"/>
      <c r="H950" s="84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47"/>
      <c r="U950" s="47"/>
      <c r="V950" s="47"/>
      <c r="W950" s="47"/>
      <c r="X950" s="47"/>
      <c r="Y950" s="47"/>
      <c r="Z950" s="47"/>
    </row>
    <row r="951" spans="1:26" ht="12.75" customHeight="1">
      <c r="A951" s="47"/>
      <c r="B951" s="47"/>
      <c r="C951" s="47"/>
      <c r="D951" s="47"/>
      <c r="E951" s="47"/>
      <c r="F951" s="47"/>
      <c r="G951" s="47"/>
      <c r="H951" s="84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47"/>
      <c r="U951" s="47"/>
      <c r="V951" s="47"/>
      <c r="W951" s="47"/>
      <c r="X951" s="47"/>
      <c r="Y951" s="47"/>
      <c r="Z951" s="47"/>
    </row>
    <row r="952" spans="1:26" ht="12.75" customHeight="1">
      <c r="A952" s="47"/>
      <c r="B952" s="47"/>
      <c r="C952" s="47"/>
      <c r="D952" s="47"/>
      <c r="E952" s="47"/>
      <c r="F952" s="47"/>
      <c r="G952" s="47"/>
      <c r="H952" s="84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47"/>
      <c r="U952" s="47"/>
      <c r="V952" s="47"/>
      <c r="W952" s="47"/>
      <c r="X952" s="47"/>
      <c r="Y952" s="47"/>
      <c r="Z952" s="47"/>
    </row>
    <row r="953" spans="1:26" ht="12.75" customHeight="1">
      <c r="A953" s="47"/>
      <c r="B953" s="47"/>
      <c r="C953" s="47"/>
      <c r="D953" s="47"/>
      <c r="E953" s="47"/>
      <c r="F953" s="47"/>
      <c r="G953" s="47"/>
      <c r="H953" s="84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47"/>
      <c r="U953" s="47"/>
      <c r="V953" s="47"/>
      <c r="W953" s="47"/>
      <c r="X953" s="47"/>
      <c r="Y953" s="47"/>
      <c r="Z953" s="47"/>
    </row>
    <row r="954" spans="1:26" ht="12.75" customHeight="1">
      <c r="A954" s="47"/>
      <c r="B954" s="47"/>
      <c r="C954" s="47"/>
      <c r="D954" s="47"/>
      <c r="E954" s="47"/>
      <c r="F954" s="47"/>
      <c r="G954" s="47"/>
      <c r="H954" s="84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47"/>
      <c r="U954" s="47"/>
      <c r="V954" s="47"/>
      <c r="W954" s="47"/>
      <c r="X954" s="47"/>
      <c r="Y954" s="47"/>
      <c r="Z954" s="47"/>
    </row>
    <row r="955" spans="1:26" ht="12.75" customHeight="1">
      <c r="A955" s="47"/>
      <c r="B955" s="47"/>
      <c r="C955" s="47"/>
      <c r="D955" s="47"/>
      <c r="E955" s="47"/>
      <c r="F955" s="47"/>
      <c r="G955" s="47"/>
      <c r="H955" s="84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47"/>
      <c r="U955" s="47"/>
      <c r="V955" s="47"/>
      <c r="W955" s="47"/>
      <c r="X955" s="47"/>
      <c r="Y955" s="47"/>
      <c r="Z955" s="47"/>
    </row>
    <row r="956" spans="1:26" ht="12.75" customHeight="1">
      <c r="A956" s="47"/>
      <c r="B956" s="47"/>
      <c r="C956" s="47"/>
      <c r="D956" s="47"/>
      <c r="E956" s="47"/>
      <c r="F956" s="47"/>
      <c r="G956" s="47"/>
      <c r="H956" s="84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47"/>
      <c r="U956" s="47"/>
      <c r="V956" s="47"/>
      <c r="W956" s="47"/>
      <c r="X956" s="47"/>
      <c r="Y956" s="47"/>
      <c r="Z956" s="47"/>
    </row>
    <row r="957" spans="1:26" ht="12.75" customHeight="1">
      <c r="A957" s="47"/>
      <c r="B957" s="47"/>
      <c r="C957" s="47"/>
      <c r="D957" s="47"/>
      <c r="E957" s="47"/>
      <c r="F957" s="47"/>
      <c r="G957" s="47"/>
      <c r="H957" s="84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47"/>
      <c r="U957" s="47"/>
      <c r="V957" s="47"/>
      <c r="W957" s="47"/>
      <c r="X957" s="47"/>
      <c r="Y957" s="47"/>
      <c r="Z957" s="47"/>
    </row>
    <row r="958" spans="1:26" ht="12.75" customHeight="1">
      <c r="A958" s="47"/>
      <c r="B958" s="47"/>
      <c r="C958" s="47"/>
      <c r="D958" s="47"/>
      <c r="E958" s="47"/>
      <c r="F958" s="47"/>
      <c r="G958" s="47"/>
      <c r="H958" s="84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47"/>
      <c r="U958" s="47"/>
      <c r="V958" s="47"/>
      <c r="W958" s="47"/>
      <c r="X958" s="47"/>
      <c r="Y958" s="47"/>
      <c r="Z958" s="47"/>
    </row>
    <row r="959" spans="1:26" ht="12.75" customHeight="1">
      <c r="A959" s="47"/>
      <c r="B959" s="47"/>
      <c r="C959" s="47"/>
      <c r="D959" s="47"/>
      <c r="E959" s="47"/>
      <c r="F959" s="47"/>
      <c r="G959" s="47"/>
      <c r="H959" s="84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47"/>
      <c r="U959" s="47"/>
      <c r="V959" s="47"/>
      <c r="W959" s="47"/>
      <c r="X959" s="47"/>
      <c r="Y959" s="47"/>
      <c r="Z959" s="47"/>
    </row>
    <row r="960" spans="1:26" ht="12.75" customHeight="1">
      <c r="A960" s="47"/>
      <c r="B960" s="47"/>
      <c r="C960" s="47"/>
      <c r="D960" s="47"/>
      <c r="E960" s="47"/>
      <c r="F960" s="47"/>
      <c r="G960" s="47"/>
      <c r="H960" s="84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47"/>
      <c r="U960" s="47"/>
      <c r="V960" s="47"/>
      <c r="W960" s="47"/>
      <c r="X960" s="47"/>
      <c r="Y960" s="47"/>
      <c r="Z960" s="47"/>
    </row>
    <row r="961" spans="1:26" ht="12.75" customHeight="1">
      <c r="A961" s="47"/>
      <c r="B961" s="47"/>
      <c r="C961" s="47"/>
      <c r="D961" s="47"/>
      <c r="E961" s="47"/>
      <c r="F961" s="47"/>
      <c r="G961" s="47"/>
      <c r="H961" s="84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47"/>
      <c r="U961" s="47"/>
      <c r="V961" s="47"/>
      <c r="W961" s="47"/>
      <c r="X961" s="47"/>
      <c r="Y961" s="47"/>
      <c r="Z961" s="47"/>
    </row>
    <row r="962" spans="1:26" ht="12.75" customHeight="1">
      <c r="A962" s="47"/>
      <c r="B962" s="47"/>
      <c r="C962" s="47"/>
      <c r="D962" s="47"/>
      <c r="E962" s="47"/>
      <c r="F962" s="47"/>
      <c r="G962" s="47"/>
      <c r="H962" s="84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47"/>
      <c r="U962" s="47"/>
      <c r="V962" s="47"/>
      <c r="W962" s="47"/>
      <c r="X962" s="47"/>
      <c r="Y962" s="47"/>
      <c r="Z962" s="47"/>
    </row>
    <row r="963" spans="1:26" ht="12.75" customHeight="1">
      <c r="A963" s="47"/>
      <c r="B963" s="47"/>
      <c r="C963" s="47"/>
      <c r="D963" s="47"/>
      <c r="E963" s="47"/>
      <c r="F963" s="47"/>
      <c r="G963" s="47"/>
      <c r="H963" s="84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47"/>
      <c r="U963" s="47"/>
      <c r="V963" s="47"/>
      <c r="W963" s="47"/>
      <c r="X963" s="47"/>
      <c r="Y963" s="47"/>
      <c r="Z963" s="47"/>
    </row>
    <row r="964" spans="1:26" ht="12.75" customHeight="1">
      <c r="A964" s="47"/>
      <c r="B964" s="47"/>
      <c r="C964" s="47"/>
      <c r="D964" s="47"/>
      <c r="E964" s="47"/>
      <c r="F964" s="47"/>
      <c r="G964" s="47"/>
      <c r="H964" s="84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47"/>
      <c r="U964" s="47"/>
      <c r="V964" s="47"/>
      <c r="W964" s="47"/>
      <c r="X964" s="47"/>
      <c r="Y964" s="47"/>
      <c r="Z964" s="47"/>
    </row>
    <row r="965" spans="1:26" ht="12.75" customHeight="1">
      <c r="A965" s="47"/>
      <c r="B965" s="47"/>
      <c r="C965" s="47"/>
      <c r="D965" s="47"/>
      <c r="E965" s="47"/>
      <c r="F965" s="47"/>
      <c r="G965" s="47"/>
      <c r="H965" s="84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47"/>
      <c r="U965" s="47"/>
      <c r="V965" s="47"/>
      <c r="W965" s="47"/>
      <c r="X965" s="47"/>
      <c r="Y965" s="47"/>
      <c r="Z965" s="47"/>
    </row>
    <row r="966" spans="1:26" ht="12.75" customHeight="1">
      <c r="A966" s="47"/>
      <c r="B966" s="47"/>
      <c r="C966" s="47"/>
      <c r="D966" s="47"/>
      <c r="E966" s="47"/>
      <c r="F966" s="47"/>
      <c r="G966" s="47"/>
      <c r="H966" s="84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47"/>
      <c r="U966" s="47"/>
      <c r="V966" s="47"/>
      <c r="W966" s="47"/>
      <c r="X966" s="47"/>
      <c r="Y966" s="47"/>
      <c r="Z966" s="47"/>
    </row>
    <row r="967" spans="1:26" ht="12.75" customHeight="1">
      <c r="A967" s="47"/>
      <c r="B967" s="47"/>
      <c r="C967" s="47"/>
      <c r="D967" s="47"/>
      <c r="E967" s="47"/>
      <c r="F967" s="47"/>
      <c r="G967" s="47"/>
      <c r="H967" s="84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47"/>
      <c r="U967" s="47"/>
      <c r="V967" s="47"/>
      <c r="W967" s="47"/>
      <c r="X967" s="47"/>
      <c r="Y967" s="47"/>
      <c r="Z967" s="47"/>
    </row>
    <row r="968" spans="1:26" ht="12.75" customHeight="1">
      <c r="A968" s="47"/>
      <c r="B968" s="47"/>
      <c r="C968" s="47"/>
      <c r="D968" s="47"/>
      <c r="E968" s="47"/>
      <c r="F968" s="47"/>
      <c r="G968" s="47"/>
      <c r="H968" s="84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47"/>
      <c r="U968" s="47"/>
      <c r="V968" s="47"/>
      <c r="W968" s="47"/>
      <c r="X968" s="47"/>
      <c r="Y968" s="47"/>
      <c r="Z968" s="47"/>
    </row>
    <row r="969" spans="1:26" ht="12.75" customHeight="1">
      <c r="A969" s="47"/>
      <c r="B969" s="47"/>
      <c r="C969" s="47"/>
      <c r="D969" s="47"/>
      <c r="E969" s="47"/>
      <c r="F969" s="47"/>
      <c r="G969" s="47"/>
      <c r="H969" s="84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47"/>
      <c r="U969" s="47"/>
      <c r="V969" s="47"/>
      <c r="W969" s="47"/>
      <c r="X969" s="47"/>
      <c r="Y969" s="47"/>
      <c r="Z969" s="47"/>
    </row>
    <row r="970" spans="1:26" ht="12.75" customHeight="1">
      <c r="A970" s="47"/>
      <c r="B970" s="47"/>
      <c r="C970" s="47"/>
      <c r="D970" s="47"/>
      <c r="E970" s="47"/>
      <c r="F970" s="47"/>
      <c r="G970" s="47"/>
      <c r="H970" s="84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47"/>
      <c r="U970" s="47"/>
      <c r="V970" s="47"/>
      <c r="W970" s="47"/>
      <c r="X970" s="47"/>
      <c r="Y970" s="47"/>
      <c r="Z970" s="47"/>
    </row>
    <row r="971" spans="1:26" ht="12.75" customHeight="1">
      <c r="A971" s="47"/>
      <c r="B971" s="47"/>
      <c r="C971" s="47"/>
      <c r="D971" s="47"/>
      <c r="E971" s="47"/>
      <c r="F971" s="47"/>
      <c r="G971" s="47"/>
      <c r="H971" s="84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47"/>
      <c r="U971" s="47"/>
      <c r="V971" s="47"/>
      <c r="W971" s="47"/>
      <c r="X971" s="47"/>
      <c r="Y971" s="47"/>
      <c r="Z971" s="47"/>
    </row>
    <row r="972" spans="1:26" ht="12.75" customHeight="1">
      <c r="A972" s="47"/>
      <c r="B972" s="47"/>
      <c r="C972" s="47"/>
      <c r="D972" s="47"/>
      <c r="E972" s="47"/>
      <c r="F972" s="47"/>
      <c r="G972" s="47"/>
      <c r="H972" s="84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47"/>
      <c r="U972" s="47"/>
      <c r="V972" s="47"/>
      <c r="W972" s="47"/>
      <c r="X972" s="47"/>
      <c r="Y972" s="47"/>
      <c r="Z972" s="47"/>
    </row>
    <row r="973" spans="1:26" ht="12.75" customHeight="1">
      <c r="A973" s="47"/>
      <c r="B973" s="47"/>
      <c r="C973" s="47"/>
      <c r="D973" s="47"/>
      <c r="E973" s="47"/>
      <c r="F973" s="47"/>
      <c r="G973" s="47"/>
      <c r="H973" s="84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47"/>
      <c r="U973" s="47"/>
      <c r="V973" s="47"/>
      <c r="W973" s="47"/>
      <c r="X973" s="47"/>
      <c r="Y973" s="47"/>
      <c r="Z973" s="47"/>
    </row>
    <row r="974" spans="1:26" ht="12.75" customHeight="1">
      <c r="A974" s="47"/>
      <c r="B974" s="47"/>
      <c r="C974" s="47"/>
      <c r="D974" s="47"/>
      <c r="E974" s="47"/>
      <c r="F974" s="47"/>
      <c r="G974" s="47"/>
      <c r="H974" s="84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47"/>
      <c r="U974" s="47"/>
      <c r="V974" s="47"/>
      <c r="W974" s="47"/>
      <c r="X974" s="47"/>
      <c r="Y974" s="47"/>
      <c r="Z974" s="47"/>
    </row>
    <row r="975" spans="1:26" ht="12.75" customHeight="1">
      <c r="A975" s="47"/>
      <c r="B975" s="47"/>
      <c r="C975" s="47"/>
      <c r="D975" s="47"/>
      <c r="E975" s="47"/>
      <c r="F975" s="47"/>
      <c r="G975" s="47"/>
      <c r="H975" s="84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47"/>
      <c r="U975" s="47"/>
      <c r="V975" s="47"/>
      <c r="W975" s="47"/>
      <c r="X975" s="47"/>
      <c r="Y975" s="47"/>
      <c r="Z975" s="47"/>
    </row>
    <row r="976" spans="1:26" ht="12.75" customHeight="1">
      <c r="A976" s="47"/>
      <c r="B976" s="47"/>
      <c r="C976" s="47"/>
      <c r="D976" s="47"/>
      <c r="E976" s="47"/>
      <c r="F976" s="47"/>
      <c r="G976" s="47"/>
      <c r="H976" s="84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47"/>
      <c r="U976" s="47"/>
      <c r="V976" s="47"/>
      <c r="W976" s="47"/>
      <c r="X976" s="47"/>
      <c r="Y976" s="47"/>
      <c r="Z976" s="47"/>
    </row>
    <row r="977" spans="1:26" ht="12.75" customHeight="1">
      <c r="A977" s="47"/>
      <c r="B977" s="47"/>
      <c r="C977" s="47"/>
      <c r="D977" s="47"/>
      <c r="E977" s="47"/>
      <c r="F977" s="47"/>
      <c r="G977" s="47"/>
      <c r="H977" s="84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47"/>
      <c r="U977" s="47"/>
      <c r="V977" s="47"/>
      <c r="W977" s="47"/>
      <c r="X977" s="47"/>
      <c r="Y977" s="47"/>
      <c r="Z977" s="47"/>
    </row>
    <row r="978" spans="1:26" ht="12.75" customHeight="1">
      <c r="A978" s="47"/>
      <c r="B978" s="47"/>
      <c r="C978" s="47"/>
      <c r="D978" s="47"/>
      <c r="E978" s="47"/>
      <c r="F978" s="47"/>
      <c r="G978" s="47"/>
      <c r="H978" s="84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47"/>
      <c r="U978" s="47"/>
      <c r="V978" s="47"/>
      <c r="W978" s="47"/>
      <c r="X978" s="47"/>
      <c r="Y978" s="47"/>
      <c r="Z978" s="47"/>
    </row>
    <row r="979" spans="1:26" ht="12.75" customHeight="1">
      <c r="A979" s="47"/>
      <c r="B979" s="47"/>
      <c r="C979" s="47"/>
      <c r="D979" s="47"/>
      <c r="E979" s="47"/>
      <c r="F979" s="47"/>
      <c r="G979" s="47"/>
      <c r="H979" s="84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47"/>
      <c r="U979" s="47"/>
      <c r="V979" s="47"/>
      <c r="W979" s="47"/>
      <c r="X979" s="47"/>
      <c r="Y979" s="47"/>
      <c r="Z979" s="47"/>
    </row>
    <row r="980" spans="1:26" ht="12.75" customHeight="1">
      <c r="A980" s="47"/>
      <c r="B980" s="47"/>
      <c r="C980" s="47"/>
      <c r="D980" s="47"/>
      <c r="E980" s="47"/>
      <c r="F980" s="47"/>
      <c r="G980" s="47"/>
      <c r="H980" s="84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47"/>
      <c r="U980" s="47"/>
      <c r="V980" s="47"/>
      <c r="W980" s="47"/>
      <c r="X980" s="47"/>
      <c r="Y980" s="47"/>
      <c r="Z980" s="47"/>
    </row>
    <row r="981" spans="1:26" ht="12.75" customHeight="1">
      <c r="A981" s="47"/>
      <c r="B981" s="47"/>
      <c r="C981" s="47"/>
      <c r="D981" s="47"/>
      <c r="E981" s="47"/>
      <c r="F981" s="47"/>
      <c r="G981" s="47"/>
      <c r="H981" s="84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47"/>
      <c r="U981" s="47"/>
      <c r="V981" s="47"/>
      <c r="W981" s="47"/>
      <c r="X981" s="47"/>
      <c r="Y981" s="47"/>
      <c r="Z981" s="47"/>
    </row>
    <row r="982" spans="1:26" ht="12.75" customHeight="1">
      <c r="A982" s="47"/>
      <c r="B982" s="47"/>
      <c r="C982" s="47"/>
      <c r="D982" s="47"/>
      <c r="E982" s="47"/>
      <c r="F982" s="47"/>
      <c r="G982" s="47"/>
      <c r="H982" s="84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47"/>
      <c r="U982" s="47"/>
      <c r="V982" s="47"/>
      <c r="W982" s="47"/>
      <c r="X982" s="47"/>
      <c r="Y982" s="47"/>
      <c r="Z982" s="47"/>
    </row>
    <row r="983" spans="1:26" ht="12.75" customHeight="1">
      <c r="A983" s="47"/>
      <c r="B983" s="47"/>
      <c r="C983" s="47"/>
      <c r="D983" s="47"/>
      <c r="E983" s="47"/>
      <c r="F983" s="47"/>
      <c r="G983" s="47"/>
      <c r="H983" s="84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47"/>
      <c r="U983" s="47"/>
      <c r="V983" s="47"/>
      <c r="W983" s="47"/>
      <c r="X983" s="47"/>
      <c r="Y983" s="47"/>
      <c r="Z983" s="47"/>
    </row>
    <row r="984" spans="1:26" ht="12.75" customHeight="1">
      <c r="A984" s="47"/>
      <c r="B984" s="47"/>
      <c r="C984" s="47"/>
      <c r="D984" s="47"/>
      <c r="E984" s="47"/>
      <c r="F984" s="47"/>
      <c r="G984" s="47"/>
      <c r="H984" s="84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47"/>
      <c r="U984" s="47"/>
      <c r="V984" s="47"/>
      <c r="W984" s="47"/>
      <c r="X984" s="47"/>
      <c r="Y984" s="47"/>
      <c r="Z984" s="47"/>
    </row>
    <row r="985" spans="1:26" ht="12.75" customHeight="1">
      <c r="A985" s="47"/>
      <c r="B985" s="47"/>
      <c r="C985" s="47"/>
      <c r="D985" s="47"/>
      <c r="E985" s="47"/>
      <c r="F985" s="47"/>
      <c r="G985" s="47"/>
      <c r="H985" s="84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47"/>
      <c r="U985" s="47"/>
      <c r="V985" s="47"/>
      <c r="W985" s="47"/>
      <c r="X985" s="47"/>
      <c r="Y985" s="47"/>
      <c r="Z985" s="47"/>
    </row>
    <row r="986" spans="1:26" ht="12.75" customHeight="1">
      <c r="A986" s="47"/>
      <c r="B986" s="47"/>
      <c r="C986" s="47"/>
      <c r="D986" s="47"/>
      <c r="E986" s="47"/>
      <c r="F986" s="47"/>
      <c r="G986" s="47"/>
      <c r="H986" s="84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47"/>
      <c r="U986" s="47"/>
      <c r="V986" s="47"/>
      <c r="W986" s="47"/>
      <c r="X986" s="47"/>
      <c r="Y986" s="47"/>
      <c r="Z986" s="47"/>
    </row>
    <row r="987" spans="1:26" ht="12.75" customHeight="1">
      <c r="A987" s="47"/>
      <c r="B987" s="47"/>
      <c r="C987" s="47"/>
      <c r="D987" s="47"/>
      <c r="E987" s="47"/>
      <c r="F987" s="47"/>
      <c r="G987" s="47"/>
      <c r="H987" s="84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47"/>
      <c r="U987" s="47"/>
      <c r="V987" s="47"/>
      <c r="W987" s="47"/>
      <c r="X987" s="47"/>
      <c r="Y987" s="47"/>
      <c r="Z987" s="47"/>
    </row>
    <row r="988" spans="1:26" ht="12.75" customHeight="1">
      <c r="A988" s="47"/>
      <c r="B988" s="47"/>
      <c r="C988" s="47"/>
      <c r="D988" s="47"/>
      <c r="E988" s="47"/>
      <c r="F988" s="47"/>
      <c r="G988" s="47"/>
      <c r="H988" s="84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47"/>
      <c r="U988" s="47"/>
      <c r="V988" s="47"/>
      <c r="W988" s="47"/>
      <c r="X988" s="47"/>
      <c r="Y988" s="47"/>
      <c r="Z988" s="47"/>
    </row>
    <row r="989" spans="1:26" ht="12.75" customHeight="1">
      <c r="A989" s="47"/>
      <c r="B989" s="47"/>
      <c r="C989" s="47"/>
      <c r="D989" s="47"/>
      <c r="E989" s="47"/>
      <c r="F989" s="47"/>
      <c r="G989" s="47"/>
      <c r="H989" s="84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47"/>
      <c r="U989" s="47"/>
      <c r="V989" s="47"/>
      <c r="W989" s="47"/>
      <c r="X989" s="47"/>
      <c r="Y989" s="47"/>
      <c r="Z989" s="47"/>
    </row>
    <row r="990" spans="1:26" ht="12.75" customHeight="1">
      <c r="A990" s="47"/>
      <c r="B990" s="47"/>
      <c r="C990" s="47"/>
      <c r="D990" s="47"/>
      <c r="E990" s="47"/>
      <c r="F990" s="47"/>
      <c r="G990" s="47"/>
      <c r="H990" s="84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47"/>
      <c r="U990" s="47"/>
      <c r="V990" s="47"/>
      <c r="W990" s="47"/>
      <c r="X990" s="47"/>
      <c r="Y990" s="47"/>
      <c r="Z990" s="47"/>
    </row>
    <row r="991" spans="1:26" ht="12.75" customHeight="1">
      <c r="A991" s="47"/>
      <c r="B991" s="47"/>
      <c r="C991" s="47"/>
      <c r="D991" s="47"/>
      <c r="E991" s="47"/>
      <c r="F991" s="47"/>
      <c r="G991" s="47"/>
      <c r="H991" s="84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47"/>
      <c r="U991" s="47"/>
      <c r="V991" s="47"/>
      <c r="W991" s="47"/>
      <c r="X991" s="47"/>
      <c r="Y991" s="47"/>
      <c r="Z991" s="47"/>
    </row>
    <row r="992" spans="1:26" ht="12.75" customHeight="1">
      <c r="A992" s="47"/>
      <c r="B992" s="47"/>
      <c r="C992" s="47"/>
      <c r="D992" s="47"/>
      <c r="E992" s="47"/>
      <c r="F992" s="47"/>
      <c r="G992" s="47"/>
      <c r="H992" s="84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47"/>
      <c r="U992" s="47"/>
      <c r="V992" s="47"/>
      <c r="W992" s="47"/>
      <c r="X992" s="47"/>
      <c r="Y992" s="47"/>
      <c r="Z992" s="47"/>
    </row>
    <row r="993" spans="1:26" ht="12.75" customHeight="1">
      <c r="A993" s="47"/>
      <c r="B993" s="47"/>
      <c r="C993" s="47"/>
      <c r="D993" s="47"/>
      <c r="E993" s="47"/>
      <c r="F993" s="47"/>
      <c r="G993" s="47"/>
      <c r="H993" s="84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47"/>
      <c r="U993" s="47"/>
      <c r="V993" s="47"/>
      <c r="W993" s="47"/>
      <c r="X993" s="47"/>
      <c r="Y993" s="47"/>
      <c r="Z993" s="47"/>
    </row>
    <row r="994" spans="1:26" ht="12.75" customHeight="1">
      <c r="A994" s="47"/>
      <c r="B994" s="47"/>
      <c r="C994" s="47"/>
      <c r="D994" s="47"/>
      <c r="E994" s="47"/>
      <c r="F994" s="47"/>
      <c r="G994" s="47"/>
      <c r="H994" s="84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47"/>
      <c r="B995" s="47"/>
      <c r="C995" s="47"/>
      <c r="D995" s="47"/>
      <c r="E995" s="47"/>
      <c r="F995" s="47"/>
      <c r="G995" s="47"/>
      <c r="H995" s="84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47"/>
      <c r="B996" s="47"/>
      <c r="C996" s="47"/>
      <c r="D996" s="47"/>
      <c r="E996" s="47"/>
      <c r="F996" s="47"/>
      <c r="G996" s="47"/>
      <c r="H996" s="84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47"/>
      <c r="B997" s="47"/>
      <c r="C997" s="47"/>
      <c r="D997" s="47"/>
      <c r="E997" s="47"/>
      <c r="F997" s="47"/>
      <c r="G997" s="47"/>
      <c r="H997" s="84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47"/>
      <c r="B998" s="47"/>
      <c r="C998" s="47"/>
      <c r="D998" s="47"/>
      <c r="E998" s="47"/>
      <c r="F998" s="47"/>
      <c r="G998" s="47"/>
      <c r="H998" s="84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47"/>
      <c r="B999" s="47"/>
      <c r="C999" s="47"/>
      <c r="D999" s="47"/>
      <c r="E999" s="47"/>
      <c r="F999" s="47"/>
      <c r="G999" s="47"/>
      <c r="H999" s="84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47"/>
      <c r="B1000" s="47"/>
      <c r="C1000" s="47"/>
      <c r="D1000" s="47"/>
      <c r="E1000" s="47"/>
      <c r="F1000" s="47"/>
      <c r="G1000" s="47"/>
      <c r="H1000" s="84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47"/>
      <c r="U1000" s="47"/>
      <c r="V1000" s="47"/>
      <c r="W1000" s="47"/>
      <c r="X1000" s="47"/>
      <c r="Y1000" s="47"/>
      <c r="Z1000" s="47"/>
    </row>
  </sheetData>
  <mergeCells count="377">
    <mergeCell ref="B113:B114"/>
    <mergeCell ref="A113:A114"/>
    <mergeCell ref="G113:G114"/>
    <mergeCell ref="D113:D114"/>
    <mergeCell ref="D124:D125"/>
    <mergeCell ref="B124:B125"/>
    <mergeCell ref="C124:C125"/>
    <mergeCell ref="B115:B116"/>
    <mergeCell ref="C115:C116"/>
    <mergeCell ref="E115:E116"/>
    <mergeCell ref="D115:D116"/>
    <mergeCell ref="F115:F116"/>
    <mergeCell ref="A115:A116"/>
    <mergeCell ref="G115:G116"/>
    <mergeCell ref="E124:E125"/>
    <mergeCell ref="G124:G125"/>
    <mergeCell ref="A124:A125"/>
    <mergeCell ref="F124:F125"/>
    <mergeCell ref="C113:C114"/>
    <mergeCell ref="A19:A20"/>
    <mergeCell ref="B19:B20"/>
    <mergeCell ref="A21:A22"/>
    <mergeCell ref="C19:C20"/>
    <mergeCell ref="I19:I20"/>
    <mergeCell ref="G87:G88"/>
    <mergeCell ref="G95:G96"/>
    <mergeCell ref="C110:C111"/>
    <mergeCell ref="A110:A111"/>
    <mergeCell ref="B110:B111"/>
    <mergeCell ref="G105:G106"/>
    <mergeCell ref="G110:G111"/>
    <mergeCell ref="G108:G109"/>
    <mergeCell ref="G85:G86"/>
    <mergeCell ref="F42:F46"/>
    <mergeCell ref="F47:F51"/>
    <mergeCell ref="F105:F106"/>
    <mergeCell ref="D105:D106"/>
    <mergeCell ref="A108:A109"/>
    <mergeCell ref="A105:A106"/>
    <mergeCell ref="C105:C106"/>
    <mergeCell ref="A85:A86"/>
    <mergeCell ref="D85:D86"/>
    <mergeCell ref="B85:B86"/>
    <mergeCell ref="D19:D20"/>
    <mergeCell ref="D35:D36"/>
    <mergeCell ref="M21:M22"/>
    <mergeCell ref="K19:K20"/>
    <mergeCell ref="G19:G20"/>
    <mergeCell ref="H19:H20"/>
    <mergeCell ref="N21:N22"/>
    <mergeCell ref="N19:N20"/>
    <mergeCell ref="C21:C22"/>
    <mergeCell ref="N33:N34"/>
    <mergeCell ref="N35:N36"/>
    <mergeCell ref="C33:C34"/>
    <mergeCell ref="K21:K22"/>
    <mergeCell ref="J21:J22"/>
    <mergeCell ref="L19:L20"/>
    <mergeCell ref="M19:M20"/>
    <mergeCell ref="L21:L22"/>
    <mergeCell ref="M33:M34"/>
    <mergeCell ref="E19:E20"/>
    <mergeCell ref="F19:F20"/>
    <mergeCell ref="H21:H22"/>
    <mergeCell ref="F21:F22"/>
    <mergeCell ref="G21:G22"/>
    <mergeCell ref="E35:E36"/>
    <mergeCell ref="A33:A34"/>
    <mergeCell ref="B33:B34"/>
    <mergeCell ref="E21:E22"/>
    <mergeCell ref="D21:D22"/>
    <mergeCell ref="B21:B22"/>
    <mergeCell ref="C85:C86"/>
    <mergeCell ref="B108:B109"/>
    <mergeCell ref="D95:D96"/>
    <mergeCell ref="B105:B106"/>
    <mergeCell ref="C95:C96"/>
    <mergeCell ref="A95:A96"/>
    <mergeCell ref="B95:B96"/>
    <mergeCell ref="D87:D88"/>
    <mergeCell ref="C87:C88"/>
    <mergeCell ref="E87:E88"/>
    <mergeCell ref="B57:B61"/>
    <mergeCell ref="A62:A66"/>
    <mergeCell ref="C62:C66"/>
    <mergeCell ref="B52:B56"/>
    <mergeCell ref="B47:B51"/>
    <mergeCell ref="B62:B66"/>
    <mergeCell ref="E85:E86"/>
    <mergeCell ref="C42:C46"/>
    <mergeCell ref="D47:D51"/>
    <mergeCell ref="P110:P111"/>
    <mergeCell ref="O108:O109"/>
    <mergeCell ref="P108:P109"/>
    <mergeCell ref="N110:N111"/>
    <mergeCell ref="B35:B36"/>
    <mergeCell ref="A35:A36"/>
    <mergeCell ref="L95:L96"/>
    <mergeCell ref="N95:N96"/>
    <mergeCell ref="M95:M96"/>
    <mergeCell ref="O95:O96"/>
    <mergeCell ref="K95:K96"/>
    <mergeCell ref="H108:H109"/>
    <mergeCell ref="B39:B40"/>
    <mergeCell ref="B37:B38"/>
    <mergeCell ref="A37:A38"/>
    <mergeCell ref="C39:C40"/>
    <mergeCell ref="A39:A40"/>
    <mergeCell ref="A52:A56"/>
    <mergeCell ref="A47:A51"/>
    <mergeCell ref="A87:A88"/>
    <mergeCell ref="B87:B88"/>
    <mergeCell ref="B42:B46"/>
    <mergeCell ref="A42:A46"/>
    <mergeCell ref="A57:A61"/>
    <mergeCell ref="S95:S96"/>
    <mergeCell ref="M87:M88"/>
    <mergeCell ref="L87:L88"/>
    <mergeCell ref="O85:O86"/>
    <mergeCell ref="Q87:Q88"/>
    <mergeCell ref="O87:O88"/>
    <mergeCell ref="P87:P88"/>
    <mergeCell ref="Q85:Q86"/>
    <mergeCell ref="P85:P86"/>
    <mergeCell ref="P95:P96"/>
    <mergeCell ref="Q95:Q96"/>
    <mergeCell ref="N87:N88"/>
    <mergeCell ref="L85:L86"/>
    <mergeCell ref="N85:N86"/>
    <mergeCell ref="M85:M86"/>
    <mergeCell ref="S87:S88"/>
    <mergeCell ref="S85:S86"/>
    <mergeCell ref="B133:B134"/>
    <mergeCell ref="A133:A134"/>
    <mergeCell ref="F133:F134"/>
    <mergeCell ref="E113:E114"/>
    <mergeCell ref="E105:E106"/>
    <mergeCell ref="E110:E111"/>
    <mergeCell ref="E108:E109"/>
    <mergeCell ref="E95:E96"/>
    <mergeCell ref="S124:S125"/>
    <mergeCell ref="S113:S114"/>
    <mergeCell ref="S108:S109"/>
    <mergeCell ref="S110:S111"/>
    <mergeCell ref="S115:S116"/>
    <mergeCell ref="S133:S134"/>
    <mergeCell ref="Q105:Q106"/>
    <mergeCell ref="H105:H106"/>
    <mergeCell ref="S105:S106"/>
    <mergeCell ref="K105:K106"/>
    <mergeCell ref="K110:K111"/>
    <mergeCell ref="K108:K109"/>
    <mergeCell ref="K124:K125"/>
    <mergeCell ref="K115:K116"/>
    <mergeCell ref="J115:J116"/>
    <mergeCell ref="K113:K114"/>
    <mergeCell ref="G133:G134"/>
    <mergeCell ref="H133:H134"/>
    <mergeCell ref="J133:J134"/>
    <mergeCell ref="K133:K134"/>
    <mergeCell ref="F110:F111"/>
    <mergeCell ref="F108:F109"/>
    <mergeCell ref="E133:E134"/>
    <mergeCell ref="D133:D134"/>
    <mergeCell ref="C133:C134"/>
    <mergeCell ref="J113:J114"/>
    <mergeCell ref="D110:D111"/>
    <mergeCell ref="H115:H116"/>
    <mergeCell ref="H113:H114"/>
    <mergeCell ref="J108:J109"/>
    <mergeCell ref="C108:C109"/>
    <mergeCell ref="D108:D109"/>
    <mergeCell ref="F113:F114"/>
    <mergeCell ref="F95:F96"/>
    <mergeCell ref="H124:H125"/>
    <mergeCell ref="I124:I125"/>
    <mergeCell ref="H110:H111"/>
    <mergeCell ref="I110:I111"/>
    <mergeCell ref="I105:I106"/>
    <mergeCell ref="J87:J88"/>
    <mergeCell ref="K87:K88"/>
    <mergeCell ref="H95:H96"/>
    <mergeCell ref="J95:J96"/>
    <mergeCell ref="I95:I96"/>
    <mergeCell ref="I87:I88"/>
    <mergeCell ref="H87:H88"/>
    <mergeCell ref="F87:F88"/>
    <mergeCell ref="S52:S56"/>
    <mergeCell ref="S57:S61"/>
    <mergeCell ref="R57:R61"/>
    <mergeCell ref="D52:D56"/>
    <mergeCell ref="E52:E56"/>
    <mergeCell ref="F62:F66"/>
    <mergeCell ref="E62:E66"/>
    <mergeCell ref="E57:E61"/>
    <mergeCell ref="C52:C56"/>
    <mergeCell ref="D62:D66"/>
    <mergeCell ref="C57:C61"/>
    <mergeCell ref="F57:F61"/>
    <mergeCell ref="D57:D61"/>
    <mergeCell ref="R62:R66"/>
    <mergeCell ref="S62:S66"/>
    <mergeCell ref="Q62:Q66"/>
    <mergeCell ref="L62:L66"/>
    <mergeCell ref="M62:M66"/>
    <mergeCell ref="N62:N66"/>
    <mergeCell ref="F52:F56"/>
    <mergeCell ref="J52:J56"/>
    <mergeCell ref="P62:P66"/>
    <mergeCell ref="O62:O66"/>
    <mergeCell ref="K62:K66"/>
    <mergeCell ref="F85:F86"/>
    <mergeCell ref="H85:H86"/>
    <mergeCell ref="H47:H51"/>
    <mergeCell ref="I47:I51"/>
    <mergeCell ref="I42:I46"/>
    <mergeCell ref="K39:K40"/>
    <mergeCell ref="F39:F40"/>
    <mergeCell ref="I39:I40"/>
    <mergeCell ref="J39:J40"/>
    <mergeCell ref="G39:G40"/>
    <mergeCell ref="H39:H40"/>
    <mergeCell ref="K57:K61"/>
    <mergeCell ref="K52:K56"/>
    <mergeCell ref="I52:I56"/>
    <mergeCell ref="H52:H56"/>
    <mergeCell ref="K85:K86"/>
    <mergeCell ref="J85:J86"/>
    <mergeCell ref="J57:J61"/>
    <mergeCell ref="H57:H61"/>
    <mergeCell ref="I57:I61"/>
    <mergeCell ref="J62:J66"/>
    <mergeCell ref="H62:H66"/>
    <mergeCell ref="I62:I66"/>
    <mergeCell ref="I85:I86"/>
    <mergeCell ref="N47:N51"/>
    <mergeCell ref="Q33:Q34"/>
    <mergeCell ref="S33:S34"/>
    <mergeCell ref="S35:S36"/>
    <mergeCell ref="S39:S40"/>
    <mergeCell ref="S37:S38"/>
    <mergeCell ref="E47:E51"/>
    <mergeCell ref="C47:C51"/>
    <mergeCell ref="Q47:Q51"/>
    <mergeCell ref="R47:R51"/>
    <mergeCell ref="P47:P51"/>
    <mergeCell ref="R42:R46"/>
    <mergeCell ref="S47:S51"/>
    <mergeCell ref="S42:S46"/>
    <mergeCell ref="O47:O51"/>
    <mergeCell ref="E42:E46"/>
    <mergeCell ref="D42:D46"/>
    <mergeCell ref="L47:L51"/>
    <mergeCell ref="J47:J51"/>
    <mergeCell ref="K47:K51"/>
    <mergeCell ref="M47:M51"/>
    <mergeCell ref="E39:E40"/>
    <mergeCell ref="M42:M46"/>
    <mergeCell ref="M37:M38"/>
    <mergeCell ref="M35:M36"/>
    <mergeCell ref="M39:M40"/>
    <mergeCell ref="I37:I38"/>
    <mergeCell ref="H37:H38"/>
    <mergeCell ref="K35:K36"/>
    <mergeCell ref="G35:G36"/>
    <mergeCell ref="G37:G38"/>
    <mergeCell ref="D33:D34"/>
    <mergeCell ref="L37:L38"/>
    <mergeCell ref="K37:K38"/>
    <mergeCell ref="D37:D38"/>
    <mergeCell ref="J37:J38"/>
    <mergeCell ref="J33:J34"/>
    <mergeCell ref="I33:I34"/>
    <mergeCell ref="L33:L34"/>
    <mergeCell ref="K33:K34"/>
    <mergeCell ref="E33:E34"/>
    <mergeCell ref="G33:G34"/>
    <mergeCell ref="H33:H34"/>
    <mergeCell ref="F33:F34"/>
    <mergeCell ref="H42:H46"/>
    <mergeCell ref="C37:C38"/>
    <mergeCell ref="C35:C36"/>
    <mergeCell ref="D39:D40"/>
    <mergeCell ref="L42:L46"/>
    <mergeCell ref="L35:L36"/>
    <mergeCell ref="L39:L40"/>
    <mergeCell ref="K42:K46"/>
    <mergeCell ref="J42:J46"/>
    <mergeCell ref="E37:E38"/>
    <mergeCell ref="J35:J36"/>
    <mergeCell ref="I35:I36"/>
    <mergeCell ref="F37:F38"/>
    <mergeCell ref="H35:H36"/>
    <mergeCell ref="F35:F36"/>
    <mergeCell ref="M52:M56"/>
    <mergeCell ref="L52:L56"/>
    <mergeCell ref="M57:M61"/>
    <mergeCell ref="L57:L61"/>
    <mergeCell ref="Q52:Q56"/>
    <mergeCell ref="Q57:Q61"/>
    <mergeCell ref="O52:O56"/>
    <mergeCell ref="P52:P56"/>
    <mergeCell ref="N57:N61"/>
    <mergeCell ref="N52:N56"/>
    <mergeCell ref="O57:O61"/>
    <mergeCell ref="P57:P61"/>
    <mergeCell ref="Q42:Q46"/>
    <mergeCell ref="P19:P20"/>
    <mergeCell ref="O19:O20"/>
    <mergeCell ref="O21:O22"/>
    <mergeCell ref="P33:P34"/>
    <mergeCell ref="P42:P46"/>
    <mergeCell ref="O42:O46"/>
    <mergeCell ref="N37:N38"/>
    <mergeCell ref="N39:N40"/>
    <mergeCell ref="N42:N46"/>
    <mergeCell ref="S21:S22"/>
    <mergeCell ref="Q21:Q22"/>
    <mergeCell ref="R21:R22"/>
    <mergeCell ref="R19:R20"/>
    <mergeCell ref="S19:S20"/>
    <mergeCell ref="Q19:Q20"/>
    <mergeCell ref="P21:P22"/>
    <mergeCell ref="O39:O40"/>
    <mergeCell ref="Q39:Q40"/>
    <mergeCell ref="Q37:Q38"/>
    <mergeCell ref="P39:P40"/>
    <mergeCell ref="P37:P38"/>
    <mergeCell ref="O37:O38"/>
    <mergeCell ref="O35:O36"/>
    <mergeCell ref="P35:P36"/>
    <mergeCell ref="Q35:Q36"/>
    <mergeCell ref="O33:O34"/>
    <mergeCell ref="L115:L116"/>
    <mergeCell ref="Q133:Q134"/>
    <mergeCell ref="R133:R134"/>
    <mergeCell ref="Q124:Q125"/>
    <mergeCell ref="P124:P125"/>
    <mergeCell ref="P133:P134"/>
    <mergeCell ref="N133:N134"/>
    <mergeCell ref="M133:M134"/>
    <mergeCell ref="L133:L134"/>
    <mergeCell ref="O133:O134"/>
    <mergeCell ref="R105:R106"/>
    <mergeCell ref="O105:O106"/>
    <mergeCell ref="P105:P106"/>
    <mergeCell ref="N105:N106"/>
    <mergeCell ref="M105:M106"/>
    <mergeCell ref="L110:L111"/>
    <mergeCell ref="L105:L106"/>
    <mergeCell ref="R124:R125"/>
    <mergeCell ref="L108:L109"/>
    <mergeCell ref="O124:O125"/>
    <mergeCell ref="Q113:Q114"/>
    <mergeCell ref="L124:L125"/>
    <mergeCell ref="R115:R116"/>
    <mergeCell ref="Q115:Q116"/>
    <mergeCell ref="R113:R114"/>
    <mergeCell ref="R108:R109"/>
    <mergeCell ref="R110:R111"/>
    <mergeCell ref="Q108:Q109"/>
    <mergeCell ref="Q110:Q111"/>
    <mergeCell ref="M108:M109"/>
    <mergeCell ref="N108:N109"/>
    <mergeCell ref="M110:M111"/>
    <mergeCell ref="O110:O111"/>
    <mergeCell ref="L113:L114"/>
    <mergeCell ref="M113:M114"/>
    <mergeCell ref="P115:P116"/>
    <mergeCell ref="O115:O116"/>
    <mergeCell ref="M115:M116"/>
    <mergeCell ref="N113:N114"/>
    <mergeCell ref="N115:N116"/>
    <mergeCell ref="O113:O114"/>
    <mergeCell ref="P113:P114"/>
    <mergeCell ref="N124:N125"/>
    <mergeCell ref="M124:M125"/>
  </mergeCells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/>
  <cols>
    <col min="1" max="1" width="6.44140625" customWidth="1"/>
    <col min="2" max="2" width="5.44140625" customWidth="1"/>
    <col min="3" max="3" width="6.44140625" customWidth="1"/>
    <col min="4" max="4" width="7.109375" customWidth="1"/>
    <col min="5" max="5" width="8" customWidth="1"/>
    <col min="6" max="6" width="20.44140625" customWidth="1"/>
    <col min="7" max="7" width="20.109375" customWidth="1"/>
    <col min="8" max="8" width="52.6640625" customWidth="1"/>
    <col min="9" max="9" width="9.6640625" customWidth="1"/>
    <col min="10" max="10" width="19.44140625" customWidth="1"/>
    <col min="11" max="11" width="7.44140625" customWidth="1"/>
    <col min="12" max="12" width="8.44140625" customWidth="1"/>
    <col min="13" max="13" width="9.6640625" customWidth="1"/>
    <col min="14" max="14" width="13.109375" customWidth="1"/>
    <col min="15" max="15" width="21.6640625" customWidth="1"/>
    <col min="16" max="16" width="20.6640625" customWidth="1"/>
    <col min="17" max="17" width="13.77734375" customWidth="1"/>
    <col min="18" max="18" width="25" customWidth="1"/>
    <col min="19" max="19" width="15.6640625" customWidth="1"/>
    <col min="20" max="30" width="13.44140625" customWidth="1"/>
  </cols>
  <sheetData>
    <row r="1" spans="1:30" ht="16.5" customHeight="1">
      <c r="A1" s="2" t="s">
        <v>18</v>
      </c>
      <c r="B1" s="3"/>
      <c r="C1" s="4"/>
      <c r="D1" s="5"/>
      <c r="E1" s="2"/>
      <c r="F1" s="6"/>
      <c r="G1" s="3"/>
      <c r="H1" s="9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ht="73.5" customHeight="1">
      <c r="A2" s="14" t="s">
        <v>193</v>
      </c>
      <c r="B2" s="14" t="s">
        <v>205</v>
      </c>
      <c r="C2" s="14" t="s">
        <v>207</v>
      </c>
      <c r="D2" s="16" t="s">
        <v>208</v>
      </c>
      <c r="E2" s="16" t="s">
        <v>221</v>
      </c>
      <c r="F2" s="16" t="s">
        <v>222</v>
      </c>
      <c r="G2" s="16" t="s">
        <v>223</v>
      </c>
      <c r="H2" s="18" t="s">
        <v>227</v>
      </c>
      <c r="I2" s="19" t="s">
        <v>246</v>
      </c>
      <c r="J2" s="19" t="s">
        <v>258</v>
      </c>
      <c r="K2" s="19" t="s">
        <v>260</v>
      </c>
      <c r="L2" s="21" t="s">
        <v>261</v>
      </c>
      <c r="M2" s="21" t="s">
        <v>322</v>
      </c>
      <c r="N2" s="21" t="s">
        <v>324</v>
      </c>
      <c r="O2" s="22" t="s">
        <v>325</v>
      </c>
      <c r="P2" s="22" t="s">
        <v>334</v>
      </c>
      <c r="Q2" s="22" t="s">
        <v>335</v>
      </c>
      <c r="R2" s="22" t="s">
        <v>336</v>
      </c>
      <c r="S2" s="23" t="s">
        <v>337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ht="22.5" customHeight="1">
      <c r="A3" s="26">
        <v>3</v>
      </c>
      <c r="B3" s="26" t="s">
        <v>538</v>
      </c>
      <c r="C3" s="26">
        <v>30</v>
      </c>
      <c r="D3" s="29" t="s">
        <v>541</v>
      </c>
      <c r="E3" s="31">
        <v>302</v>
      </c>
      <c r="F3" s="31" t="s">
        <v>543</v>
      </c>
      <c r="G3" s="32" t="s">
        <v>546</v>
      </c>
      <c r="H3" s="33" t="s">
        <v>549</v>
      </c>
      <c r="I3" s="28" t="s">
        <v>550</v>
      </c>
      <c r="J3" s="38" t="s">
        <v>552</v>
      </c>
      <c r="K3" s="48"/>
      <c r="L3" s="38" t="s">
        <v>565</v>
      </c>
      <c r="M3" s="42" t="s">
        <v>566</v>
      </c>
      <c r="N3" s="28" t="s">
        <v>567</v>
      </c>
      <c r="O3" s="38" t="s">
        <v>569</v>
      </c>
      <c r="P3" s="38" t="s">
        <v>571</v>
      </c>
      <c r="Q3" s="38" t="s">
        <v>573</v>
      </c>
      <c r="R3" s="38"/>
      <c r="S3" s="48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22.5" customHeight="1">
      <c r="A4" s="26">
        <v>3</v>
      </c>
      <c r="B4" s="26" t="s">
        <v>538</v>
      </c>
      <c r="C4" s="26">
        <v>30</v>
      </c>
      <c r="D4" s="29" t="s">
        <v>541</v>
      </c>
      <c r="E4" s="31">
        <v>302</v>
      </c>
      <c r="F4" s="31" t="s">
        <v>543</v>
      </c>
      <c r="G4" s="32" t="s">
        <v>546</v>
      </c>
      <c r="H4" s="50" t="s">
        <v>577</v>
      </c>
      <c r="I4" s="40" t="s">
        <v>631</v>
      </c>
      <c r="J4" s="42" t="s">
        <v>632</v>
      </c>
      <c r="K4" s="48"/>
      <c r="L4" s="42" t="s">
        <v>633</v>
      </c>
      <c r="M4" s="38" t="s">
        <v>635</v>
      </c>
      <c r="N4" s="52" t="s">
        <v>636</v>
      </c>
      <c r="O4" s="38" t="s">
        <v>652</v>
      </c>
      <c r="P4" s="55" t="str">
        <f>HYPERLINK("http://www.buildingsmart-tech.org/ifc/IFC4/final/html/schema/ifcsharedcomponentelements/lexical/ifcdiscreteaccessorytype.htm","IfcDiscreteAccessoryTypeEnum")</f>
        <v>IfcDiscreteAccessoryTypeEnum</v>
      </c>
      <c r="Q4" s="38" t="s">
        <v>707</v>
      </c>
      <c r="R4" s="38"/>
      <c r="S4" s="48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22.5" customHeight="1">
      <c r="A5" s="26">
        <v>3</v>
      </c>
      <c r="B5" s="26" t="s">
        <v>538</v>
      </c>
      <c r="C5" s="26">
        <v>30</v>
      </c>
      <c r="D5" s="29" t="s">
        <v>541</v>
      </c>
      <c r="E5" s="31">
        <v>302</v>
      </c>
      <c r="F5" s="31" t="s">
        <v>543</v>
      </c>
      <c r="G5" s="32" t="s">
        <v>546</v>
      </c>
      <c r="H5" s="50" t="s">
        <v>717</v>
      </c>
      <c r="I5" s="40"/>
      <c r="J5" s="42" t="s">
        <v>720</v>
      </c>
      <c r="K5" s="48"/>
      <c r="L5" s="38" t="s">
        <v>722</v>
      </c>
      <c r="M5" s="42" t="s">
        <v>724</v>
      </c>
      <c r="N5" s="28" t="s">
        <v>726</v>
      </c>
      <c r="O5" s="38" t="s">
        <v>569</v>
      </c>
      <c r="P5" s="38" t="s">
        <v>571</v>
      </c>
      <c r="Q5" s="38" t="s">
        <v>728</v>
      </c>
      <c r="R5" s="38"/>
      <c r="S5" s="48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22.5" customHeight="1">
      <c r="A6" s="26">
        <v>3</v>
      </c>
      <c r="B6" s="26" t="s">
        <v>538</v>
      </c>
      <c r="C6" s="26">
        <v>30</v>
      </c>
      <c r="D6" s="29" t="s">
        <v>541</v>
      </c>
      <c r="E6" s="31">
        <v>302</v>
      </c>
      <c r="F6" s="31" t="s">
        <v>543</v>
      </c>
      <c r="G6" s="32" t="s">
        <v>546</v>
      </c>
      <c r="H6" s="50" t="s">
        <v>738</v>
      </c>
      <c r="I6" s="40" t="s">
        <v>740</v>
      </c>
      <c r="J6" s="42" t="s">
        <v>742</v>
      </c>
      <c r="K6" s="48"/>
      <c r="L6" s="42" t="s">
        <v>633</v>
      </c>
      <c r="M6" s="38" t="s">
        <v>635</v>
      </c>
      <c r="N6" s="52" t="s">
        <v>636</v>
      </c>
      <c r="O6" s="38" t="s">
        <v>652</v>
      </c>
      <c r="P6" s="55" t="str">
        <f>HYPERLINK("http://www.buildingsmart-tech.org/ifc/IFC4/final/html/schema/ifcsharedcomponentelements/lexical/ifcdiscreteaccessorytype.htm","IfcDiscreteAccessoryTypeEnum")</f>
        <v>IfcDiscreteAccessoryTypeEnum</v>
      </c>
      <c r="Q6" s="38" t="s">
        <v>768</v>
      </c>
      <c r="R6" s="38"/>
      <c r="S6" s="48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22.5" customHeight="1">
      <c r="A7" s="26">
        <v>3</v>
      </c>
      <c r="B7" s="26" t="s">
        <v>538</v>
      </c>
      <c r="C7" s="26">
        <v>30</v>
      </c>
      <c r="D7" s="29" t="s">
        <v>541</v>
      </c>
      <c r="E7" s="31">
        <v>302</v>
      </c>
      <c r="F7" s="31" t="s">
        <v>543</v>
      </c>
      <c r="G7" s="32" t="s">
        <v>546</v>
      </c>
      <c r="H7" s="59" t="s">
        <v>776</v>
      </c>
      <c r="I7" s="40" t="s">
        <v>784</v>
      </c>
      <c r="J7" s="42" t="s">
        <v>785</v>
      </c>
      <c r="K7" s="48"/>
      <c r="L7" s="38" t="s">
        <v>786</v>
      </c>
      <c r="M7" s="61" t="s">
        <v>787</v>
      </c>
      <c r="N7" s="28" t="s">
        <v>788</v>
      </c>
      <c r="O7" s="38" t="s">
        <v>789</v>
      </c>
      <c r="P7" s="38" t="s">
        <v>790</v>
      </c>
      <c r="Q7" s="38" t="s">
        <v>791</v>
      </c>
      <c r="R7" s="38"/>
      <c r="S7" s="48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22.5" customHeight="1">
      <c r="A8" s="26">
        <v>3</v>
      </c>
      <c r="B8" s="26" t="s">
        <v>538</v>
      </c>
      <c r="C8" s="26">
        <v>30</v>
      </c>
      <c r="D8" s="29" t="s">
        <v>541</v>
      </c>
      <c r="E8" s="31">
        <v>302</v>
      </c>
      <c r="F8" s="31" t="s">
        <v>543</v>
      </c>
      <c r="G8" s="32" t="s">
        <v>546</v>
      </c>
      <c r="H8" s="33" t="s">
        <v>792</v>
      </c>
      <c r="I8" s="29" t="s">
        <v>793</v>
      </c>
      <c r="J8" s="38">
        <v>2</v>
      </c>
      <c r="K8" s="48"/>
      <c r="L8" s="38" t="s">
        <v>565</v>
      </c>
      <c r="M8" s="42" t="s">
        <v>566</v>
      </c>
      <c r="N8" s="29" t="s">
        <v>794</v>
      </c>
      <c r="O8" s="38" t="s">
        <v>569</v>
      </c>
      <c r="P8" s="38" t="s">
        <v>571</v>
      </c>
      <c r="Q8" s="38" t="s">
        <v>795</v>
      </c>
      <c r="R8" s="38" t="s">
        <v>796</v>
      </c>
      <c r="S8" s="48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22.5" customHeight="1">
      <c r="A9" s="26">
        <v>3</v>
      </c>
      <c r="B9" s="26" t="s">
        <v>538</v>
      </c>
      <c r="C9" s="26">
        <v>30</v>
      </c>
      <c r="D9" s="29" t="s">
        <v>541</v>
      </c>
      <c r="E9" s="31">
        <v>302</v>
      </c>
      <c r="F9" s="31" t="s">
        <v>543</v>
      </c>
      <c r="G9" s="32" t="s">
        <v>546</v>
      </c>
      <c r="H9" s="50" t="s">
        <v>806</v>
      </c>
      <c r="I9" s="52" t="s">
        <v>807</v>
      </c>
      <c r="J9" s="38" t="s">
        <v>808</v>
      </c>
      <c r="K9" s="48"/>
      <c r="L9" s="38" t="s">
        <v>722</v>
      </c>
      <c r="M9" s="42" t="s">
        <v>724</v>
      </c>
      <c r="N9" s="28" t="s">
        <v>726</v>
      </c>
      <c r="O9" s="31" t="s">
        <v>809</v>
      </c>
      <c r="P9" s="38" t="s">
        <v>810</v>
      </c>
      <c r="Q9" s="38" t="s">
        <v>811</v>
      </c>
      <c r="R9" s="38"/>
      <c r="S9" s="48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22.5" customHeight="1">
      <c r="A10" s="26">
        <v>3</v>
      </c>
      <c r="B10" s="26" t="s">
        <v>538</v>
      </c>
      <c r="C10" s="26">
        <v>30</v>
      </c>
      <c r="D10" s="29" t="s">
        <v>541</v>
      </c>
      <c r="E10" s="31">
        <v>302</v>
      </c>
      <c r="F10" s="31" t="s">
        <v>543</v>
      </c>
      <c r="G10" s="32" t="s">
        <v>546</v>
      </c>
      <c r="H10" s="50" t="s">
        <v>817</v>
      </c>
      <c r="I10" s="52" t="s">
        <v>819</v>
      </c>
      <c r="J10" s="38" t="s">
        <v>820</v>
      </c>
      <c r="K10" s="48"/>
      <c r="L10" s="38" t="s">
        <v>821</v>
      </c>
      <c r="M10" s="42" t="s">
        <v>822</v>
      </c>
      <c r="N10" s="28" t="s">
        <v>823</v>
      </c>
      <c r="O10" s="31" t="s">
        <v>809</v>
      </c>
      <c r="P10" s="38" t="s">
        <v>810</v>
      </c>
      <c r="Q10" s="38" t="s">
        <v>824</v>
      </c>
      <c r="R10" s="38"/>
      <c r="S10" s="48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22.5" customHeight="1">
      <c r="A11" s="26">
        <v>3</v>
      </c>
      <c r="B11" s="26" t="s">
        <v>538</v>
      </c>
      <c r="C11" s="26">
        <v>30</v>
      </c>
      <c r="D11" s="29" t="s">
        <v>541</v>
      </c>
      <c r="E11" s="31">
        <v>302</v>
      </c>
      <c r="F11" s="31" t="s">
        <v>543</v>
      </c>
      <c r="G11" s="32" t="s">
        <v>546</v>
      </c>
      <c r="H11" s="50" t="s">
        <v>826</v>
      </c>
      <c r="I11" s="40"/>
      <c r="J11" s="42" t="s">
        <v>827</v>
      </c>
      <c r="K11" s="48"/>
      <c r="L11" s="38" t="s">
        <v>786</v>
      </c>
      <c r="M11" s="61" t="s">
        <v>787</v>
      </c>
      <c r="N11" s="29" t="s">
        <v>828</v>
      </c>
      <c r="O11" s="38" t="s">
        <v>789</v>
      </c>
      <c r="P11" s="38" t="s">
        <v>790</v>
      </c>
      <c r="Q11" s="38" t="s">
        <v>791</v>
      </c>
      <c r="R11" s="38"/>
      <c r="S11" s="48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2.5" customHeight="1">
      <c r="A12" s="26">
        <v>3</v>
      </c>
      <c r="B12" s="26" t="s">
        <v>538</v>
      </c>
      <c r="C12" s="26">
        <v>30</v>
      </c>
      <c r="D12" s="29" t="s">
        <v>541</v>
      </c>
      <c r="E12" s="31">
        <v>302</v>
      </c>
      <c r="F12" s="31" t="s">
        <v>543</v>
      </c>
      <c r="G12" s="32" t="s">
        <v>546</v>
      </c>
      <c r="H12" s="50" t="s">
        <v>829</v>
      </c>
      <c r="I12" s="52" t="s">
        <v>830</v>
      </c>
      <c r="J12" s="42" t="s">
        <v>827</v>
      </c>
      <c r="K12" s="48"/>
      <c r="L12" s="38" t="s">
        <v>786</v>
      </c>
      <c r="M12" s="61" t="s">
        <v>787</v>
      </c>
      <c r="N12" s="29" t="s">
        <v>828</v>
      </c>
      <c r="O12" s="38" t="s">
        <v>789</v>
      </c>
      <c r="P12" s="38" t="s">
        <v>790</v>
      </c>
      <c r="Q12" s="38" t="s">
        <v>791</v>
      </c>
      <c r="R12" s="38"/>
      <c r="S12" s="48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22.5" customHeight="1">
      <c r="A13" s="26">
        <v>3</v>
      </c>
      <c r="B13" s="26" t="s">
        <v>538</v>
      </c>
      <c r="C13" s="26">
        <v>30</v>
      </c>
      <c r="D13" s="29" t="s">
        <v>541</v>
      </c>
      <c r="E13" s="31">
        <v>302</v>
      </c>
      <c r="F13" s="31" t="s">
        <v>543</v>
      </c>
      <c r="G13" s="32" t="s">
        <v>546</v>
      </c>
      <c r="H13" s="50" t="s">
        <v>837</v>
      </c>
      <c r="I13" s="40"/>
      <c r="J13" s="42" t="s">
        <v>840</v>
      </c>
      <c r="K13" s="48"/>
      <c r="L13" s="42" t="s">
        <v>842</v>
      </c>
      <c r="M13" s="42" t="s">
        <v>844</v>
      </c>
      <c r="N13" s="40" t="s">
        <v>860</v>
      </c>
      <c r="O13" s="38" t="s">
        <v>789</v>
      </c>
      <c r="P13" s="38" t="s">
        <v>790</v>
      </c>
      <c r="Q13" s="42" t="s">
        <v>877</v>
      </c>
      <c r="R13" s="38"/>
      <c r="S13" s="48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22.5" customHeight="1">
      <c r="A14" s="26">
        <v>3</v>
      </c>
      <c r="B14" s="26" t="s">
        <v>538</v>
      </c>
      <c r="C14" s="26">
        <v>30</v>
      </c>
      <c r="D14" s="29" t="s">
        <v>541</v>
      </c>
      <c r="E14" s="31">
        <v>302</v>
      </c>
      <c r="F14" s="31" t="s">
        <v>543</v>
      </c>
      <c r="G14" s="32" t="s">
        <v>546</v>
      </c>
      <c r="H14" s="33" t="s">
        <v>883</v>
      </c>
      <c r="I14" s="28" t="s">
        <v>886</v>
      </c>
      <c r="J14" s="38" t="s">
        <v>887</v>
      </c>
      <c r="K14" s="48"/>
      <c r="L14" s="38" t="s">
        <v>565</v>
      </c>
      <c r="M14" s="42" t="s">
        <v>566</v>
      </c>
      <c r="N14" s="29" t="s">
        <v>794</v>
      </c>
      <c r="O14" s="38" t="s">
        <v>569</v>
      </c>
      <c r="P14" s="38" t="s">
        <v>571</v>
      </c>
      <c r="Q14" s="38" t="s">
        <v>795</v>
      </c>
      <c r="R14" s="38" t="s">
        <v>910</v>
      </c>
      <c r="S14" s="48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22.5" customHeight="1">
      <c r="A15" s="26">
        <v>3</v>
      </c>
      <c r="B15" s="26" t="s">
        <v>538</v>
      </c>
      <c r="C15" s="26">
        <v>30</v>
      </c>
      <c r="D15" s="29" t="s">
        <v>541</v>
      </c>
      <c r="E15" s="31">
        <v>304</v>
      </c>
      <c r="F15" s="31" t="s">
        <v>913</v>
      </c>
      <c r="G15" s="32" t="s">
        <v>546</v>
      </c>
      <c r="H15" s="59" t="s">
        <v>917</v>
      </c>
      <c r="I15" s="40" t="s">
        <v>919</v>
      </c>
      <c r="J15" s="42"/>
      <c r="K15" s="48"/>
      <c r="L15" s="42" t="s">
        <v>921</v>
      </c>
      <c r="M15" s="42" t="s">
        <v>935</v>
      </c>
      <c r="N15" s="40"/>
      <c r="O15" s="38" t="s">
        <v>936</v>
      </c>
      <c r="P15" s="38" t="s">
        <v>937</v>
      </c>
      <c r="Q15" s="38" t="s">
        <v>939</v>
      </c>
      <c r="R15" s="38"/>
      <c r="S15" s="48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22.5" customHeight="1">
      <c r="A16" s="26">
        <v>3</v>
      </c>
      <c r="B16" s="26" t="s">
        <v>538</v>
      </c>
      <c r="C16" s="26">
        <v>30</v>
      </c>
      <c r="D16" s="29" t="s">
        <v>541</v>
      </c>
      <c r="E16" s="31">
        <v>304</v>
      </c>
      <c r="F16" s="31" t="s">
        <v>913</v>
      </c>
      <c r="G16" s="32" t="s">
        <v>546</v>
      </c>
      <c r="H16" s="59" t="s">
        <v>947</v>
      </c>
      <c r="I16" s="40" t="s">
        <v>949</v>
      </c>
      <c r="J16" s="42"/>
      <c r="K16" s="48"/>
      <c r="L16" s="42" t="s">
        <v>921</v>
      </c>
      <c r="M16" s="42" t="s">
        <v>935</v>
      </c>
      <c r="N16" s="40"/>
      <c r="O16" s="38" t="s">
        <v>936</v>
      </c>
      <c r="P16" s="38" t="s">
        <v>937</v>
      </c>
      <c r="Q16" s="38" t="s">
        <v>939</v>
      </c>
      <c r="R16" s="38"/>
      <c r="S16" s="48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22.5" customHeight="1">
      <c r="A17" s="26">
        <v>3</v>
      </c>
      <c r="B17" s="26" t="s">
        <v>538</v>
      </c>
      <c r="C17" s="26">
        <v>30</v>
      </c>
      <c r="D17" s="29" t="s">
        <v>541</v>
      </c>
      <c r="E17" s="31">
        <v>304</v>
      </c>
      <c r="F17" s="31" t="s">
        <v>913</v>
      </c>
      <c r="G17" s="32" t="s">
        <v>546</v>
      </c>
      <c r="H17" s="50" t="s">
        <v>966</v>
      </c>
      <c r="I17" s="40" t="s">
        <v>977</v>
      </c>
      <c r="J17" s="42"/>
      <c r="K17" s="48"/>
      <c r="L17" s="38" t="s">
        <v>821</v>
      </c>
      <c r="M17" s="42" t="s">
        <v>822</v>
      </c>
      <c r="N17" s="28" t="s">
        <v>823</v>
      </c>
      <c r="O17" s="38" t="s">
        <v>809</v>
      </c>
      <c r="P17" s="38" t="s">
        <v>810</v>
      </c>
      <c r="Q17" s="38" t="s">
        <v>824</v>
      </c>
      <c r="R17" s="38"/>
      <c r="S17" s="48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22.5" customHeight="1">
      <c r="A18" s="26">
        <v>3</v>
      </c>
      <c r="B18" s="26" t="s">
        <v>538</v>
      </c>
      <c r="C18" s="26">
        <v>30</v>
      </c>
      <c r="D18" s="29" t="s">
        <v>541</v>
      </c>
      <c r="E18" s="31">
        <v>304</v>
      </c>
      <c r="F18" s="31" t="s">
        <v>913</v>
      </c>
      <c r="G18" s="32" t="s">
        <v>546</v>
      </c>
      <c r="H18" s="33" t="s">
        <v>982</v>
      </c>
      <c r="I18" s="40" t="s">
        <v>983</v>
      </c>
      <c r="J18" s="42"/>
      <c r="K18" s="48"/>
      <c r="L18" s="42" t="s">
        <v>984</v>
      </c>
      <c r="M18" s="42" t="s">
        <v>985</v>
      </c>
      <c r="N18" s="40"/>
      <c r="O18" s="38" t="s">
        <v>986</v>
      </c>
      <c r="P18" s="38" t="s">
        <v>987</v>
      </c>
      <c r="Q18" s="38" t="s">
        <v>988</v>
      </c>
      <c r="R18" s="38"/>
      <c r="S18" s="48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22.5" customHeight="1">
      <c r="A19" s="26">
        <v>3</v>
      </c>
      <c r="B19" s="26" t="s">
        <v>538</v>
      </c>
      <c r="C19" s="26">
        <v>30</v>
      </c>
      <c r="D19" s="29" t="s">
        <v>541</v>
      </c>
      <c r="E19" s="31">
        <v>304</v>
      </c>
      <c r="F19" s="31" t="s">
        <v>913</v>
      </c>
      <c r="G19" s="32" t="s">
        <v>546</v>
      </c>
      <c r="H19" s="50" t="s">
        <v>996</v>
      </c>
      <c r="I19" s="40" t="s">
        <v>998</v>
      </c>
      <c r="J19" s="42"/>
      <c r="K19" s="48"/>
      <c r="L19" s="42" t="s">
        <v>984</v>
      </c>
      <c r="M19" s="42" t="s">
        <v>985</v>
      </c>
      <c r="N19" s="40"/>
      <c r="O19" s="38" t="s">
        <v>986</v>
      </c>
      <c r="P19" s="38" t="s">
        <v>987</v>
      </c>
      <c r="Q19" s="38" t="s">
        <v>988</v>
      </c>
      <c r="R19" s="38"/>
      <c r="S19" s="48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22.5" customHeight="1">
      <c r="A20" s="26">
        <v>3</v>
      </c>
      <c r="B20" s="26" t="s">
        <v>538</v>
      </c>
      <c r="C20" s="26">
        <v>30</v>
      </c>
      <c r="D20" s="29" t="s">
        <v>541</v>
      </c>
      <c r="E20" s="31">
        <v>304</v>
      </c>
      <c r="F20" s="31" t="s">
        <v>913</v>
      </c>
      <c r="G20" s="32" t="s">
        <v>546</v>
      </c>
      <c r="H20" s="50" t="s">
        <v>1050</v>
      </c>
      <c r="I20" s="40" t="s">
        <v>1051</v>
      </c>
      <c r="J20" s="42"/>
      <c r="K20" s="48"/>
      <c r="L20" s="42" t="s">
        <v>1053</v>
      </c>
      <c r="M20" s="42" t="s">
        <v>1054</v>
      </c>
      <c r="N20" s="40"/>
      <c r="O20" s="38" t="s">
        <v>986</v>
      </c>
      <c r="P20" s="38" t="s">
        <v>987</v>
      </c>
      <c r="Q20" s="38" t="s">
        <v>1073</v>
      </c>
      <c r="R20" s="38"/>
      <c r="S20" s="48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22.5" customHeight="1">
      <c r="A21" s="26">
        <v>3</v>
      </c>
      <c r="B21" s="26" t="s">
        <v>538</v>
      </c>
      <c r="C21" s="26">
        <v>30</v>
      </c>
      <c r="D21" s="29" t="s">
        <v>541</v>
      </c>
      <c r="E21" s="31">
        <v>304</v>
      </c>
      <c r="F21" s="31" t="s">
        <v>913</v>
      </c>
      <c r="G21" s="32" t="s">
        <v>546</v>
      </c>
      <c r="H21" s="50" t="s">
        <v>1077</v>
      </c>
      <c r="I21" s="40" t="s">
        <v>998</v>
      </c>
      <c r="J21" s="42"/>
      <c r="K21" s="48"/>
      <c r="L21" s="42" t="s">
        <v>984</v>
      </c>
      <c r="M21" s="42" t="s">
        <v>985</v>
      </c>
      <c r="N21" s="40"/>
      <c r="O21" s="38" t="s">
        <v>986</v>
      </c>
      <c r="P21" s="38" t="s">
        <v>987</v>
      </c>
      <c r="Q21" s="38" t="s">
        <v>988</v>
      </c>
      <c r="R21" s="38"/>
      <c r="S21" s="48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22.5" customHeight="1">
      <c r="A22" s="26">
        <v>3</v>
      </c>
      <c r="B22" s="26" t="s">
        <v>538</v>
      </c>
      <c r="C22" s="26">
        <v>30</v>
      </c>
      <c r="D22" s="29" t="s">
        <v>541</v>
      </c>
      <c r="E22" s="31">
        <v>304</v>
      </c>
      <c r="F22" s="31" t="s">
        <v>913</v>
      </c>
      <c r="G22" s="32" t="s">
        <v>546</v>
      </c>
      <c r="H22" s="50" t="s">
        <v>1083</v>
      </c>
      <c r="I22" s="29" t="s">
        <v>1084</v>
      </c>
      <c r="J22" s="42"/>
      <c r="K22" s="48"/>
      <c r="L22" s="38" t="s">
        <v>821</v>
      </c>
      <c r="M22" s="42" t="s">
        <v>822</v>
      </c>
      <c r="N22" s="28" t="s">
        <v>823</v>
      </c>
      <c r="O22" s="38" t="s">
        <v>1085</v>
      </c>
      <c r="P22" s="38" t="s">
        <v>1086</v>
      </c>
      <c r="Q22" s="38" t="s">
        <v>1087</v>
      </c>
      <c r="R22" s="38"/>
      <c r="S22" s="48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22.5" customHeight="1">
      <c r="A23" s="26">
        <v>3</v>
      </c>
      <c r="B23" s="26" t="s">
        <v>538</v>
      </c>
      <c r="C23" s="26">
        <v>30</v>
      </c>
      <c r="D23" s="29" t="s">
        <v>541</v>
      </c>
      <c r="E23" s="31">
        <v>304</v>
      </c>
      <c r="F23" s="31" t="s">
        <v>913</v>
      </c>
      <c r="G23" s="32" t="s">
        <v>546</v>
      </c>
      <c r="H23" s="50" t="s">
        <v>1084</v>
      </c>
      <c r="I23" s="40"/>
      <c r="J23" s="42"/>
      <c r="K23" s="48"/>
      <c r="L23" s="38" t="s">
        <v>821</v>
      </c>
      <c r="M23" s="42" t="s">
        <v>822</v>
      </c>
      <c r="N23" s="28" t="s">
        <v>823</v>
      </c>
      <c r="O23" s="38" t="s">
        <v>1085</v>
      </c>
      <c r="P23" s="38" t="s">
        <v>1086</v>
      </c>
      <c r="Q23" s="38" t="s">
        <v>1126</v>
      </c>
      <c r="R23" s="38"/>
      <c r="S23" s="48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22.5" customHeight="1">
      <c r="A24" s="26">
        <v>3</v>
      </c>
      <c r="B24" s="26" t="s">
        <v>538</v>
      </c>
      <c r="C24" s="26">
        <v>30</v>
      </c>
      <c r="D24" s="29" t="s">
        <v>541</v>
      </c>
      <c r="E24" s="31">
        <v>304</v>
      </c>
      <c r="F24" s="31" t="s">
        <v>913</v>
      </c>
      <c r="G24" s="32" t="s">
        <v>546</v>
      </c>
      <c r="H24" s="50" t="s">
        <v>1130</v>
      </c>
      <c r="I24" s="40" t="s">
        <v>1084</v>
      </c>
      <c r="J24" s="42"/>
      <c r="K24" s="48"/>
      <c r="L24" s="38" t="s">
        <v>821</v>
      </c>
      <c r="M24" s="42" t="s">
        <v>822</v>
      </c>
      <c r="N24" s="28" t="s">
        <v>823</v>
      </c>
      <c r="O24" s="38" t="s">
        <v>1085</v>
      </c>
      <c r="P24" s="38" t="s">
        <v>1086</v>
      </c>
      <c r="Q24" s="38" t="s">
        <v>1146</v>
      </c>
      <c r="R24" s="38"/>
      <c r="S24" s="48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22.5" customHeight="1">
      <c r="A25" s="26">
        <v>3</v>
      </c>
      <c r="B25" s="26" t="s">
        <v>538</v>
      </c>
      <c r="C25" s="26">
        <v>31</v>
      </c>
      <c r="D25" s="29" t="s">
        <v>1151</v>
      </c>
      <c r="E25" s="31">
        <v>311</v>
      </c>
      <c r="F25" s="31" t="s">
        <v>1152</v>
      </c>
      <c r="G25" s="32" t="s">
        <v>1153</v>
      </c>
      <c r="H25" s="66" t="s">
        <v>1155</v>
      </c>
      <c r="I25" s="29"/>
      <c r="J25" s="38" t="s">
        <v>552</v>
      </c>
      <c r="K25" s="48"/>
      <c r="L25" s="38" t="s">
        <v>565</v>
      </c>
      <c r="M25" s="42" t="s">
        <v>566</v>
      </c>
      <c r="N25" s="28" t="s">
        <v>567</v>
      </c>
      <c r="O25" s="38" t="s">
        <v>569</v>
      </c>
      <c r="P25" s="38" t="s">
        <v>571</v>
      </c>
      <c r="Q25" s="38" t="s">
        <v>573</v>
      </c>
      <c r="R25" s="38"/>
      <c r="S25" s="48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22.5" customHeight="1">
      <c r="A26" s="26">
        <v>3</v>
      </c>
      <c r="B26" s="26" t="s">
        <v>538</v>
      </c>
      <c r="C26" s="26">
        <v>31</v>
      </c>
      <c r="D26" s="29" t="s">
        <v>1151</v>
      </c>
      <c r="E26" s="31">
        <v>311</v>
      </c>
      <c r="F26" s="31" t="s">
        <v>1152</v>
      </c>
      <c r="G26" s="32" t="s">
        <v>1153</v>
      </c>
      <c r="H26" s="59" t="s">
        <v>1176</v>
      </c>
      <c r="I26" s="40"/>
      <c r="J26" s="42" t="s">
        <v>720</v>
      </c>
      <c r="K26" s="48"/>
      <c r="L26" s="38" t="s">
        <v>722</v>
      </c>
      <c r="M26" s="42" t="s">
        <v>724</v>
      </c>
      <c r="N26" s="28" t="s">
        <v>726</v>
      </c>
      <c r="O26" s="38" t="s">
        <v>569</v>
      </c>
      <c r="P26" s="38" t="s">
        <v>571</v>
      </c>
      <c r="Q26" s="38" t="s">
        <v>728</v>
      </c>
      <c r="R26" s="38"/>
      <c r="S26" s="48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22.5" customHeight="1">
      <c r="A27" s="26">
        <v>3</v>
      </c>
      <c r="B27" s="26" t="s">
        <v>538</v>
      </c>
      <c r="C27" s="26">
        <v>31</v>
      </c>
      <c r="D27" s="29" t="s">
        <v>1151</v>
      </c>
      <c r="E27" s="31">
        <v>311</v>
      </c>
      <c r="F27" s="31" t="s">
        <v>1152</v>
      </c>
      <c r="G27" s="32" t="s">
        <v>1153</v>
      </c>
      <c r="H27" s="66" t="s">
        <v>1200</v>
      </c>
      <c r="I27" s="28" t="s">
        <v>1201</v>
      </c>
      <c r="J27" s="85" t="s">
        <v>1202</v>
      </c>
      <c r="K27" s="48"/>
      <c r="L27" s="38" t="s">
        <v>565</v>
      </c>
      <c r="M27" s="42" t="s">
        <v>566</v>
      </c>
      <c r="N27" s="29" t="s">
        <v>794</v>
      </c>
      <c r="O27" s="38" t="s">
        <v>569</v>
      </c>
      <c r="P27" s="38" t="s">
        <v>571</v>
      </c>
      <c r="Q27" s="38" t="s">
        <v>795</v>
      </c>
      <c r="R27" s="38" t="s">
        <v>796</v>
      </c>
      <c r="S27" s="48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22.5" customHeight="1">
      <c r="A28" s="26">
        <v>3</v>
      </c>
      <c r="B28" s="26" t="s">
        <v>538</v>
      </c>
      <c r="C28" s="26">
        <v>31</v>
      </c>
      <c r="D28" s="29" t="s">
        <v>1151</v>
      </c>
      <c r="E28" s="31">
        <v>311</v>
      </c>
      <c r="F28" s="31" t="s">
        <v>1152</v>
      </c>
      <c r="G28" s="32" t="s">
        <v>1153</v>
      </c>
      <c r="H28" s="59" t="s">
        <v>1226</v>
      </c>
      <c r="I28" s="40"/>
      <c r="J28" s="38" t="s">
        <v>808</v>
      </c>
      <c r="K28" s="48"/>
      <c r="L28" s="38" t="s">
        <v>722</v>
      </c>
      <c r="M28" s="42" t="s">
        <v>724</v>
      </c>
      <c r="N28" s="28" t="s">
        <v>726</v>
      </c>
      <c r="O28" s="38" t="s">
        <v>809</v>
      </c>
      <c r="P28" s="38" t="s">
        <v>810</v>
      </c>
      <c r="Q28" s="38" t="s">
        <v>811</v>
      </c>
      <c r="R28" s="38"/>
      <c r="S28" s="48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22.5" customHeight="1">
      <c r="A29" s="26">
        <v>3</v>
      </c>
      <c r="B29" s="26" t="s">
        <v>538</v>
      </c>
      <c r="C29" s="26">
        <v>31</v>
      </c>
      <c r="D29" s="29" t="s">
        <v>1151</v>
      </c>
      <c r="E29" s="31">
        <v>311</v>
      </c>
      <c r="F29" s="31" t="s">
        <v>1152</v>
      </c>
      <c r="G29" s="32" t="s">
        <v>1153</v>
      </c>
      <c r="H29" s="66" t="s">
        <v>1243</v>
      </c>
      <c r="I29" s="29"/>
      <c r="J29" s="38" t="s">
        <v>887</v>
      </c>
      <c r="K29" s="48"/>
      <c r="L29" s="38" t="s">
        <v>565</v>
      </c>
      <c r="M29" s="42" t="s">
        <v>566</v>
      </c>
      <c r="N29" s="29" t="s">
        <v>794</v>
      </c>
      <c r="O29" s="38" t="s">
        <v>569</v>
      </c>
      <c r="P29" s="38" t="s">
        <v>571</v>
      </c>
      <c r="Q29" s="38" t="s">
        <v>795</v>
      </c>
      <c r="R29" s="38" t="s">
        <v>910</v>
      </c>
      <c r="S29" s="48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22.5" customHeight="1">
      <c r="A30" s="26">
        <v>3</v>
      </c>
      <c r="B30" s="26" t="s">
        <v>538</v>
      </c>
      <c r="C30" s="26">
        <v>31</v>
      </c>
      <c r="D30" s="29" t="s">
        <v>1151</v>
      </c>
      <c r="E30" s="31">
        <v>312</v>
      </c>
      <c r="F30" s="31" t="s">
        <v>1257</v>
      </c>
      <c r="G30" s="32" t="s">
        <v>1258</v>
      </c>
      <c r="H30" s="66" t="s">
        <v>1261</v>
      </c>
      <c r="I30" s="28" t="s">
        <v>550</v>
      </c>
      <c r="J30" s="38" t="s">
        <v>552</v>
      </c>
      <c r="K30" s="48"/>
      <c r="L30" s="38" t="s">
        <v>565</v>
      </c>
      <c r="M30" s="42" t="s">
        <v>566</v>
      </c>
      <c r="N30" s="28" t="s">
        <v>567</v>
      </c>
      <c r="O30" s="38" t="s">
        <v>569</v>
      </c>
      <c r="P30" s="38" t="s">
        <v>571</v>
      </c>
      <c r="Q30" s="38" t="s">
        <v>573</v>
      </c>
      <c r="R30" s="38"/>
      <c r="S30" s="48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22.5" customHeight="1">
      <c r="A31" s="26">
        <v>3</v>
      </c>
      <c r="B31" s="26" t="s">
        <v>538</v>
      </c>
      <c r="C31" s="26">
        <v>31</v>
      </c>
      <c r="D31" s="29" t="s">
        <v>1151</v>
      </c>
      <c r="E31" s="31">
        <v>312</v>
      </c>
      <c r="F31" s="31" t="s">
        <v>1257</v>
      </c>
      <c r="G31" s="32" t="s">
        <v>1258</v>
      </c>
      <c r="H31" s="33" t="s">
        <v>1269</v>
      </c>
      <c r="I31" s="40" t="s">
        <v>1271</v>
      </c>
      <c r="J31" s="42"/>
      <c r="K31" s="48"/>
      <c r="L31" s="42" t="s">
        <v>1272</v>
      </c>
      <c r="M31" s="42" t="s">
        <v>1274</v>
      </c>
      <c r="N31" s="40"/>
      <c r="O31" s="38" t="s">
        <v>986</v>
      </c>
      <c r="P31" s="38" t="s">
        <v>987</v>
      </c>
      <c r="Q31" s="38" t="s">
        <v>1286</v>
      </c>
      <c r="R31" s="38"/>
      <c r="S31" s="48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22.5" customHeight="1">
      <c r="A32" s="26">
        <v>3</v>
      </c>
      <c r="B32" s="26" t="s">
        <v>538</v>
      </c>
      <c r="C32" s="26">
        <v>31</v>
      </c>
      <c r="D32" s="29" t="s">
        <v>1151</v>
      </c>
      <c r="E32" s="31">
        <v>312</v>
      </c>
      <c r="F32" s="31" t="s">
        <v>1257</v>
      </c>
      <c r="G32" s="32" t="s">
        <v>1258</v>
      </c>
      <c r="H32" s="59" t="s">
        <v>1295</v>
      </c>
      <c r="I32" s="40"/>
      <c r="J32" s="42" t="s">
        <v>720</v>
      </c>
      <c r="K32" s="48"/>
      <c r="L32" s="38" t="s">
        <v>722</v>
      </c>
      <c r="M32" s="42" t="s">
        <v>724</v>
      </c>
      <c r="N32" s="28" t="s">
        <v>726</v>
      </c>
      <c r="O32" s="38" t="s">
        <v>569</v>
      </c>
      <c r="P32" s="38" t="s">
        <v>571</v>
      </c>
      <c r="Q32" s="38" t="s">
        <v>728</v>
      </c>
      <c r="R32" s="38"/>
      <c r="S32" s="48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22.5" customHeight="1">
      <c r="A33" s="26">
        <v>3</v>
      </c>
      <c r="B33" s="26" t="s">
        <v>538</v>
      </c>
      <c r="C33" s="26">
        <v>31</v>
      </c>
      <c r="D33" s="29" t="s">
        <v>1151</v>
      </c>
      <c r="E33" s="31">
        <v>312</v>
      </c>
      <c r="F33" s="31" t="s">
        <v>1257</v>
      </c>
      <c r="G33" s="32" t="s">
        <v>1258</v>
      </c>
      <c r="H33" s="66" t="s">
        <v>1300</v>
      </c>
      <c r="I33" s="29" t="s">
        <v>1301</v>
      </c>
      <c r="J33" s="85" t="s">
        <v>1302</v>
      </c>
      <c r="K33" s="48"/>
      <c r="L33" s="38" t="s">
        <v>565</v>
      </c>
      <c r="M33" s="42" t="s">
        <v>566</v>
      </c>
      <c r="N33" s="29" t="s">
        <v>794</v>
      </c>
      <c r="O33" s="38" t="s">
        <v>569</v>
      </c>
      <c r="P33" s="38" t="s">
        <v>571</v>
      </c>
      <c r="Q33" s="38" t="s">
        <v>795</v>
      </c>
      <c r="R33" s="38" t="s">
        <v>796</v>
      </c>
      <c r="S33" s="48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22.5" customHeight="1">
      <c r="A34" s="26">
        <v>3</v>
      </c>
      <c r="B34" s="26" t="s">
        <v>538</v>
      </c>
      <c r="C34" s="26">
        <v>31</v>
      </c>
      <c r="D34" s="29" t="s">
        <v>1151</v>
      </c>
      <c r="E34" s="31">
        <v>312</v>
      </c>
      <c r="F34" s="31" t="s">
        <v>1257</v>
      </c>
      <c r="G34" s="32" t="s">
        <v>1258</v>
      </c>
      <c r="H34" s="33" t="s">
        <v>1305</v>
      </c>
      <c r="I34" s="40" t="s">
        <v>1306</v>
      </c>
      <c r="J34" s="42" t="s">
        <v>1307</v>
      </c>
      <c r="K34" s="48"/>
      <c r="L34" s="38" t="s">
        <v>1309</v>
      </c>
      <c r="M34" s="38" t="s">
        <v>1310</v>
      </c>
      <c r="N34" s="28" t="s">
        <v>1312</v>
      </c>
      <c r="O34" s="55" t="str">
        <f>HYPERLINK("http://www.buildingsmart-tech.org/ifc/IFC4/final/html/schema/ifcplumbingfireprotectiondomain/lexical/ifcstackterminal.htm","IfcStackTerminal")</f>
        <v>IfcStackTerminal</v>
      </c>
      <c r="P34" s="38" t="s">
        <v>1315</v>
      </c>
      <c r="Q34" s="38" t="s">
        <v>1316</v>
      </c>
      <c r="R34" s="38"/>
      <c r="S34" s="48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22.5" customHeight="1">
      <c r="A35" s="26">
        <v>3</v>
      </c>
      <c r="B35" s="26" t="s">
        <v>538</v>
      </c>
      <c r="C35" s="26">
        <v>31</v>
      </c>
      <c r="D35" s="29" t="s">
        <v>1151</v>
      </c>
      <c r="E35" s="31">
        <v>312</v>
      </c>
      <c r="F35" s="31" t="s">
        <v>1257</v>
      </c>
      <c r="G35" s="32" t="s">
        <v>1258</v>
      </c>
      <c r="H35" s="59" t="s">
        <v>1319</v>
      </c>
      <c r="I35" s="40"/>
      <c r="J35" s="38" t="s">
        <v>808</v>
      </c>
      <c r="K35" s="48"/>
      <c r="L35" s="38" t="s">
        <v>722</v>
      </c>
      <c r="M35" s="42" t="s">
        <v>724</v>
      </c>
      <c r="N35" s="28" t="s">
        <v>726</v>
      </c>
      <c r="O35" s="31" t="s">
        <v>809</v>
      </c>
      <c r="P35" s="38" t="s">
        <v>810</v>
      </c>
      <c r="Q35" s="38" t="s">
        <v>811</v>
      </c>
      <c r="R35" s="38"/>
      <c r="S35" s="48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22.5" customHeight="1">
      <c r="A36" s="26">
        <v>3</v>
      </c>
      <c r="B36" s="26" t="s">
        <v>538</v>
      </c>
      <c r="C36" s="26">
        <v>31</v>
      </c>
      <c r="D36" s="29" t="s">
        <v>1151</v>
      </c>
      <c r="E36" s="31">
        <v>312</v>
      </c>
      <c r="F36" s="31" t="s">
        <v>1257</v>
      </c>
      <c r="G36" s="32" t="s">
        <v>1258</v>
      </c>
      <c r="H36" s="59" t="s">
        <v>1327</v>
      </c>
      <c r="I36" s="40" t="s">
        <v>1328</v>
      </c>
      <c r="J36" s="38" t="s">
        <v>820</v>
      </c>
      <c r="K36" s="48"/>
      <c r="L36" s="38" t="s">
        <v>821</v>
      </c>
      <c r="M36" s="42" t="s">
        <v>822</v>
      </c>
      <c r="N36" s="28" t="s">
        <v>823</v>
      </c>
      <c r="O36" s="31" t="s">
        <v>809</v>
      </c>
      <c r="P36" s="38" t="s">
        <v>810</v>
      </c>
      <c r="Q36" s="38" t="s">
        <v>824</v>
      </c>
      <c r="R36" s="38"/>
      <c r="S36" s="48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22.5" customHeight="1">
      <c r="A37" s="26">
        <v>3</v>
      </c>
      <c r="B37" s="26" t="s">
        <v>538</v>
      </c>
      <c r="C37" s="26">
        <v>31</v>
      </c>
      <c r="D37" s="29" t="s">
        <v>1151</v>
      </c>
      <c r="E37" s="31">
        <v>312</v>
      </c>
      <c r="F37" s="31" t="s">
        <v>1257</v>
      </c>
      <c r="G37" s="32" t="s">
        <v>1258</v>
      </c>
      <c r="H37" s="59" t="s">
        <v>1333</v>
      </c>
      <c r="I37" s="40" t="s">
        <v>1334</v>
      </c>
      <c r="J37" s="42" t="s">
        <v>1335</v>
      </c>
      <c r="K37" s="48"/>
      <c r="L37" s="38" t="s">
        <v>1337</v>
      </c>
      <c r="M37" s="42" t="s">
        <v>1338</v>
      </c>
      <c r="N37" s="29" t="s">
        <v>1339</v>
      </c>
      <c r="O37" s="38" t="s">
        <v>789</v>
      </c>
      <c r="P37" s="38" t="s">
        <v>790</v>
      </c>
      <c r="Q37" s="38" t="s">
        <v>791</v>
      </c>
      <c r="R37" s="38"/>
      <c r="S37" s="48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22.5" customHeight="1">
      <c r="A38" s="26">
        <v>3</v>
      </c>
      <c r="B38" s="26" t="s">
        <v>538</v>
      </c>
      <c r="C38" s="26">
        <v>31</v>
      </c>
      <c r="D38" s="29" t="s">
        <v>1151</v>
      </c>
      <c r="E38" s="31">
        <v>312</v>
      </c>
      <c r="F38" s="31" t="s">
        <v>1257</v>
      </c>
      <c r="G38" s="32" t="s">
        <v>1258</v>
      </c>
      <c r="H38" s="66" t="s">
        <v>1354</v>
      </c>
      <c r="I38" s="29"/>
      <c r="J38" s="38" t="s">
        <v>887</v>
      </c>
      <c r="K38" s="48"/>
      <c r="L38" s="38" t="s">
        <v>565</v>
      </c>
      <c r="M38" s="42" t="s">
        <v>566</v>
      </c>
      <c r="N38" s="29" t="s">
        <v>794</v>
      </c>
      <c r="O38" s="38" t="s">
        <v>569</v>
      </c>
      <c r="P38" s="38" t="s">
        <v>571</v>
      </c>
      <c r="Q38" s="38" t="s">
        <v>795</v>
      </c>
      <c r="R38" s="38" t="s">
        <v>910</v>
      </c>
      <c r="S38" s="48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22.5" customHeight="1">
      <c r="A39" s="26">
        <v>3</v>
      </c>
      <c r="B39" s="26" t="s">
        <v>538</v>
      </c>
      <c r="C39" s="26">
        <v>31</v>
      </c>
      <c r="D39" s="29" t="s">
        <v>1151</v>
      </c>
      <c r="E39" s="31">
        <v>314</v>
      </c>
      <c r="F39" s="31" t="s">
        <v>1356</v>
      </c>
      <c r="G39" s="28" t="s">
        <v>1358</v>
      </c>
      <c r="H39" s="33" t="s">
        <v>1361</v>
      </c>
      <c r="I39" s="29" t="s">
        <v>1362</v>
      </c>
      <c r="J39" s="38" t="s">
        <v>1369</v>
      </c>
      <c r="K39" s="48"/>
      <c r="L39" s="38" t="s">
        <v>1370</v>
      </c>
      <c r="M39" s="38" t="s">
        <v>1361</v>
      </c>
      <c r="N39" s="28" t="s">
        <v>1372</v>
      </c>
      <c r="O39" s="38" t="s">
        <v>986</v>
      </c>
      <c r="P39" s="38" t="s">
        <v>987</v>
      </c>
      <c r="Q39" s="38" t="s">
        <v>1380</v>
      </c>
      <c r="R39" s="38"/>
      <c r="S39" s="48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22.5" customHeight="1">
      <c r="A40" s="26">
        <v>3</v>
      </c>
      <c r="B40" s="26" t="s">
        <v>538</v>
      </c>
      <c r="C40" s="26">
        <v>31</v>
      </c>
      <c r="D40" s="29" t="s">
        <v>1151</v>
      </c>
      <c r="E40" s="31">
        <v>314</v>
      </c>
      <c r="F40" s="31" t="s">
        <v>1356</v>
      </c>
      <c r="G40" s="28" t="s">
        <v>1358</v>
      </c>
      <c r="H40" s="66" t="s">
        <v>1389</v>
      </c>
      <c r="I40" s="28" t="s">
        <v>1391</v>
      </c>
      <c r="J40" s="38"/>
      <c r="K40" s="48"/>
      <c r="L40" s="38" t="s">
        <v>1370</v>
      </c>
      <c r="M40" s="38" t="s">
        <v>1361</v>
      </c>
      <c r="N40" s="28" t="s">
        <v>1372</v>
      </c>
      <c r="O40" s="38" t="s">
        <v>986</v>
      </c>
      <c r="P40" s="38" t="s">
        <v>987</v>
      </c>
      <c r="Q40" s="38" t="s">
        <v>1380</v>
      </c>
      <c r="R40" s="38"/>
      <c r="S40" s="48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22.5" customHeight="1">
      <c r="A41" s="26">
        <v>3</v>
      </c>
      <c r="B41" s="26" t="s">
        <v>538</v>
      </c>
      <c r="C41" s="26">
        <v>31</v>
      </c>
      <c r="D41" s="29" t="s">
        <v>1151</v>
      </c>
      <c r="E41" s="31">
        <v>314</v>
      </c>
      <c r="F41" s="31" t="s">
        <v>1356</v>
      </c>
      <c r="G41" s="28" t="s">
        <v>1358</v>
      </c>
      <c r="H41" s="33" t="s">
        <v>1399</v>
      </c>
      <c r="I41" s="29" t="s">
        <v>1400</v>
      </c>
      <c r="J41" s="38" t="s">
        <v>1369</v>
      </c>
      <c r="K41" s="48"/>
      <c r="L41" s="38" t="s">
        <v>1370</v>
      </c>
      <c r="M41" s="38" t="s">
        <v>1361</v>
      </c>
      <c r="N41" s="28" t="s">
        <v>1372</v>
      </c>
      <c r="O41" s="38" t="s">
        <v>986</v>
      </c>
      <c r="P41" s="38" t="s">
        <v>987</v>
      </c>
      <c r="Q41" s="38" t="s">
        <v>1380</v>
      </c>
      <c r="R41" s="38"/>
      <c r="S41" s="48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22.5" customHeight="1">
      <c r="A42" s="26">
        <v>3</v>
      </c>
      <c r="B42" s="26" t="s">
        <v>538</v>
      </c>
      <c r="C42" s="26">
        <v>31</v>
      </c>
      <c r="D42" s="29" t="s">
        <v>1151</v>
      </c>
      <c r="E42" s="31">
        <v>314</v>
      </c>
      <c r="F42" s="31" t="s">
        <v>1356</v>
      </c>
      <c r="G42" s="28" t="s">
        <v>1358</v>
      </c>
      <c r="H42" s="33" t="s">
        <v>1404</v>
      </c>
      <c r="I42" s="29"/>
      <c r="J42" s="38" t="s">
        <v>1405</v>
      </c>
      <c r="K42" s="48"/>
      <c r="L42" s="38" t="s">
        <v>1337</v>
      </c>
      <c r="M42" s="42" t="s">
        <v>1338</v>
      </c>
      <c r="N42" s="29" t="s">
        <v>1339</v>
      </c>
      <c r="O42" s="38" t="s">
        <v>789</v>
      </c>
      <c r="P42" s="38" t="s">
        <v>790</v>
      </c>
      <c r="Q42" s="38" t="s">
        <v>791</v>
      </c>
      <c r="R42" s="38"/>
      <c r="S42" s="48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22.5" customHeight="1">
      <c r="A43" s="26">
        <v>3</v>
      </c>
      <c r="B43" s="26" t="s">
        <v>538</v>
      </c>
      <c r="C43" s="26">
        <v>31</v>
      </c>
      <c r="D43" s="29" t="s">
        <v>1151</v>
      </c>
      <c r="E43" s="31">
        <v>314</v>
      </c>
      <c r="F43" s="31" t="s">
        <v>1356</v>
      </c>
      <c r="G43" s="28" t="s">
        <v>1358</v>
      </c>
      <c r="H43" s="66" t="s">
        <v>1425</v>
      </c>
      <c r="I43" s="28" t="s">
        <v>1426</v>
      </c>
      <c r="J43" s="38" t="s">
        <v>1427</v>
      </c>
      <c r="K43" s="48"/>
      <c r="L43" s="38" t="s">
        <v>1428</v>
      </c>
      <c r="M43" s="38" t="s">
        <v>1435</v>
      </c>
      <c r="N43" s="28" t="s">
        <v>1436</v>
      </c>
      <c r="O43" s="38" t="s">
        <v>986</v>
      </c>
      <c r="P43" s="38" t="s">
        <v>987</v>
      </c>
      <c r="Q43" s="38" t="s">
        <v>1437</v>
      </c>
      <c r="R43" s="38"/>
      <c r="S43" s="48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22.5" customHeight="1">
      <c r="A44" s="26">
        <v>3</v>
      </c>
      <c r="B44" s="26" t="s">
        <v>538</v>
      </c>
      <c r="C44" s="26">
        <v>31</v>
      </c>
      <c r="D44" s="29" t="s">
        <v>1151</v>
      </c>
      <c r="E44" s="31">
        <v>314</v>
      </c>
      <c r="F44" s="31" t="s">
        <v>1356</v>
      </c>
      <c r="G44" s="28" t="s">
        <v>1358</v>
      </c>
      <c r="H44" s="66" t="s">
        <v>1439</v>
      </c>
      <c r="I44" s="29" t="s">
        <v>1440</v>
      </c>
      <c r="J44" s="38" t="s">
        <v>1441</v>
      </c>
      <c r="K44" s="48"/>
      <c r="L44" s="38" t="s">
        <v>1443</v>
      </c>
      <c r="M44" s="38" t="s">
        <v>1444</v>
      </c>
      <c r="N44" s="29"/>
      <c r="O44" s="38" t="s">
        <v>986</v>
      </c>
      <c r="P44" s="38" t="s">
        <v>987</v>
      </c>
      <c r="Q44" s="38" t="s">
        <v>1446</v>
      </c>
      <c r="R44" s="38" t="s">
        <v>1448</v>
      </c>
      <c r="S44" s="48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22.5" customHeight="1">
      <c r="A45" s="26">
        <v>3</v>
      </c>
      <c r="B45" s="26" t="s">
        <v>538</v>
      </c>
      <c r="C45" s="26">
        <v>31</v>
      </c>
      <c r="D45" s="29" t="s">
        <v>1151</v>
      </c>
      <c r="E45" s="31">
        <v>314</v>
      </c>
      <c r="F45" s="31" t="s">
        <v>1356</v>
      </c>
      <c r="G45" s="28" t="s">
        <v>1358</v>
      </c>
      <c r="H45" s="66" t="s">
        <v>1453</v>
      </c>
      <c r="I45" s="29" t="s">
        <v>1454</v>
      </c>
      <c r="J45" s="38" t="s">
        <v>1455</v>
      </c>
      <c r="K45" s="48"/>
      <c r="L45" s="38" t="s">
        <v>1443</v>
      </c>
      <c r="M45" s="38" t="s">
        <v>1444</v>
      </c>
      <c r="N45" s="29"/>
      <c r="O45" s="38" t="s">
        <v>986</v>
      </c>
      <c r="P45" s="38" t="s">
        <v>987</v>
      </c>
      <c r="Q45" s="38" t="s">
        <v>1446</v>
      </c>
      <c r="R45" s="38" t="s">
        <v>1458</v>
      </c>
      <c r="S45" s="48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22.5" customHeight="1">
      <c r="A46" s="26">
        <v>3</v>
      </c>
      <c r="B46" s="26" t="s">
        <v>538</v>
      </c>
      <c r="C46" s="26">
        <v>31</v>
      </c>
      <c r="D46" s="29" t="s">
        <v>1151</v>
      </c>
      <c r="E46" s="31">
        <v>314</v>
      </c>
      <c r="F46" s="31" t="s">
        <v>1356</v>
      </c>
      <c r="G46" s="28" t="s">
        <v>1358</v>
      </c>
      <c r="H46" s="66" t="s">
        <v>1464</v>
      </c>
      <c r="I46" s="29" t="s">
        <v>1465</v>
      </c>
      <c r="J46" s="38" t="s">
        <v>1466</v>
      </c>
      <c r="K46" s="48"/>
      <c r="L46" s="38" t="s">
        <v>1443</v>
      </c>
      <c r="M46" s="38" t="s">
        <v>1444</v>
      </c>
      <c r="N46" s="29"/>
      <c r="O46" s="38" t="s">
        <v>986</v>
      </c>
      <c r="P46" s="38" t="s">
        <v>987</v>
      </c>
      <c r="Q46" s="38" t="s">
        <v>1446</v>
      </c>
      <c r="R46" s="38"/>
      <c r="S46" s="48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22.5" customHeight="1">
      <c r="A47" s="26">
        <v>3</v>
      </c>
      <c r="B47" s="26" t="s">
        <v>538</v>
      </c>
      <c r="C47" s="26">
        <v>31</v>
      </c>
      <c r="D47" s="29" t="s">
        <v>1151</v>
      </c>
      <c r="E47" s="31">
        <v>314</v>
      </c>
      <c r="F47" s="31" t="s">
        <v>1356</v>
      </c>
      <c r="G47" s="28" t="s">
        <v>1358</v>
      </c>
      <c r="H47" s="66" t="s">
        <v>1474</v>
      </c>
      <c r="I47" s="29" t="s">
        <v>1475</v>
      </c>
      <c r="J47" s="38" t="s">
        <v>1466</v>
      </c>
      <c r="K47" s="48"/>
      <c r="L47" s="38" t="s">
        <v>1443</v>
      </c>
      <c r="M47" s="38" t="s">
        <v>1444</v>
      </c>
      <c r="N47" s="29"/>
      <c r="O47" s="38" t="s">
        <v>986</v>
      </c>
      <c r="P47" s="38" t="s">
        <v>987</v>
      </c>
      <c r="Q47" s="38" t="s">
        <v>1446</v>
      </c>
      <c r="R47" s="38" t="s">
        <v>1477</v>
      </c>
      <c r="S47" s="48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22.5" customHeight="1">
      <c r="A48" s="26">
        <v>3</v>
      </c>
      <c r="B48" s="26" t="s">
        <v>538</v>
      </c>
      <c r="C48" s="26">
        <v>31</v>
      </c>
      <c r="D48" s="29" t="s">
        <v>1151</v>
      </c>
      <c r="E48" s="31">
        <v>314</v>
      </c>
      <c r="F48" s="31" t="s">
        <v>1356</v>
      </c>
      <c r="G48" s="28" t="s">
        <v>1358</v>
      </c>
      <c r="H48" s="66" t="s">
        <v>1480</v>
      </c>
      <c r="I48" s="29" t="s">
        <v>1481</v>
      </c>
      <c r="J48" s="38" t="s">
        <v>1483</v>
      </c>
      <c r="K48" s="48"/>
      <c r="L48" s="38" t="s">
        <v>1443</v>
      </c>
      <c r="M48" s="38" t="s">
        <v>1444</v>
      </c>
      <c r="N48" s="29"/>
      <c r="O48" s="38" t="s">
        <v>986</v>
      </c>
      <c r="P48" s="38" t="s">
        <v>987</v>
      </c>
      <c r="Q48" s="38" t="s">
        <v>1446</v>
      </c>
      <c r="R48" s="38" t="s">
        <v>1477</v>
      </c>
      <c r="S48" s="48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 ht="22.5" customHeight="1">
      <c r="A49" s="134">
        <v>3</v>
      </c>
      <c r="B49" s="134" t="s">
        <v>538</v>
      </c>
      <c r="C49" s="134">
        <v>31</v>
      </c>
      <c r="D49" s="135" t="s">
        <v>1151</v>
      </c>
      <c r="E49" s="126">
        <v>314</v>
      </c>
      <c r="F49" s="126" t="s">
        <v>1356</v>
      </c>
      <c r="G49" s="135" t="s">
        <v>1358</v>
      </c>
      <c r="H49" s="139" t="s">
        <v>1495</v>
      </c>
      <c r="I49" s="135" t="s">
        <v>1440</v>
      </c>
      <c r="J49" s="141" t="s">
        <v>1441</v>
      </c>
      <c r="K49" s="142"/>
      <c r="L49" s="141" t="s">
        <v>1496</v>
      </c>
      <c r="M49" s="141" t="s">
        <v>1497</v>
      </c>
      <c r="N49" s="135"/>
      <c r="O49" s="141" t="s">
        <v>986</v>
      </c>
      <c r="P49" s="141" t="s">
        <v>987</v>
      </c>
      <c r="Q49" s="141" t="s">
        <v>1446</v>
      </c>
      <c r="R49" s="38" t="s">
        <v>1448</v>
      </c>
      <c r="S49" s="142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5"/>
    </row>
    <row r="50" spans="1:30" ht="22.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38" t="s">
        <v>1508</v>
      </c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5"/>
    </row>
    <row r="51" spans="1:30" ht="22.5" customHeight="1">
      <c r="A51" s="134">
        <v>3</v>
      </c>
      <c r="B51" s="134" t="s">
        <v>538</v>
      </c>
      <c r="C51" s="134">
        <v>31</v>
      </c>
      <c r="D51" s="135" t="s">
        <v>1151</v>
      </c>
      <c r="E51" s="126">
        <v>314</v>
      </c>
      <c r="F51" s="126" t="s">
        <v>1356</v>
      </c>
      <c r="G51" s="135" t="s">
        <v>1358</v>
      </c>
      <c r="H51" s="139" t="s">
        <v>1453</v>
      </c>
      <c r="I51" s="135" t="s">
        <v>1454</v>
      </c>
      <c r="J51" s="141" t="s">
        <v>1455</v>
      </c>
      <c r="K51" s="142"/>
      <c r="L51" s="141" t="s">
        <v>1496</v>
      </c>
      <c r="M51" s="141" t="s">
        <v>1497</v>
      </c>
      <c r="N51" s="135"/>
      <c r="O51" s="141" t="s">
        <v>986</v>
      </c>
      <c r="P51" s="141" t="s">
        <v>987</v>
      </c>
      <c r="Q51" s="141" t="s">
        <v>1446</v>
      </c>
      <c r="R51" s="38" t="s">
        <v>1458</v>
      </c>
      <c r="S51" s="142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5"/>
    </row>
    <row r="52" spans="1:30" ht="22.5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38" t="s">
        <v>1508</v>
      </c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5"/>
    </row>
    <row r="53" spans="1:30" ht="22.5" customHeight="1">
      <c r="A53" s="26">
        <v>3</v>
      </c>
      <c r="B53" s="26" t="s">
        <v>538</v>
      </c>
      <c r="C53" s="26">
        <v>31</v>
      </c>
      <c r="D53" s="29" t="s">
        <v>1151</v>
      </c>
      <c r="E53" s="31">
        <v>314</v>
      </c>
      <c r="F53" s="31" t="s">
        <v>1356</v>
      </c>
      <c r="G53" s="28" t="s">
        <v>1358</v>
      </c>
      <c r="H53" s="66" t="s">
        <v>1559</v>
      </c>
      <c r="I53" s="29" t="s">
        <v>1562</v>
      </c>
      <c r="J53" s="38" t="s">
        <v>1564</v>
      </c>
      <c r="K53" s="48"/>
      <c r="L53" s="38" t="s">
        <v>1565</v>
      </c>
      <c r="M53" s="38" t="s">
        <v>1566</v>
      </c>
      <c r="N53" s="29"/>
      <c r="O53" s="38" t="s">
        <v>986</v>
      </c>
      <c r="P53" s="38" t="s">
        <v>987</v>
      </c>
      <c r="Q53" s="38" t="s">
        <v>1567</v>
      </c>
      <c r="R53" s="38" t="s">
        <v>1477</v>
      </c>
      <c r="S53" s="48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1:30" ht="22.5" customHeight="1">
      <c r="A54" s="26">
        <v>3</v>
      </c>
      <c r="B54" s="26" t="s">
        <v>538</v>
      </c>
      <c r="C54" s="26">
        <v>31</v>
      </c>
      <c r="D54" s="29" t="s">
        <v>1151</v>
      </c>
      <c r="E54" s="31">
        <v>314</v>
      </c>
      <c r="F54" s="31" t="s">
        <v>1356</v>
      </c>
      <c r="G54" s="28" t="s">
        <v>1358</v>
      </c>
      <c r="H54" s="33" t="s">
        <v>1569</v>
      </c>
      <c r="I54" s="29" t="s">
        <v>1570</v>
      </c>
      <c r="J54" s="38" t="s">
        <v>1427</v>
      </c>
      <c r="K54" s="48"/>
      <c r="L54" s="38" t="s">
        <v>1428</v>
      </c>
      <c r="M54" s="38" t="s">
        <v>1435</v>
      </c>
      <c r="N54" s="28" t="s">
        <v>1436</v>
      </c>
      <c r="O54" s="38" t="s">
        <v>986</v>
      </c>
      <c r="P54" s="38" t="s">
        <v>987</v>
      </c>
      <c r="Q54" s="38" t="s">
        <v>1437</v>
      </c>
      <c r="R54" s="38"/>
      <c r="S54" s="48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 ht="22.5" customHeight="1">
      <c r="A55" s="26">
        <v>3</v>
      </c>
      <c r="B55" s="26" t="s">
        <v>538</v>
      </c>
      <c r="C55" s="26">
        <v>31</v>
      </c>
      <c r="D55" s="29" t="s">
        <v>1151</v>
      </c>
      <c r="E55" s="31">
        <v>314</v>
      </c>
      <c r="F55" s="31" t="s">
        <v>1356</v>
      </c>
      <c r="G55" s="28" t="s">
        <v>1358</v>
      </c>
      <c r="H55" s="33" t="s">
        <v>1595</v>
      </c>
      <c r="I55" s="29" t="s">
        <v>1595</v>
      </c>
      <c r="J55" s="38" t="s">
        <v>1369</v>
      </c>
      <c r="K55" s="48"/>
      <c r="L55" s="38" t="s">
        <v>1370</v>
      </c>
      <c r="M55" s="38" t="s">
        <v>1361</v>
      </c>
      <c r="N55" s="28" t="s">
        <v>1372</v>
      </c>
      <c r="O55" s="38" t="s">
        <v>986</v>
      </c>
      <c r="P55" s="38" t="s">
        <v>987</v>
      </c>
      <c r="Q55" s="38" t="s">
        <v>1380</v>
      </c>
      <c r="R55" s="38"/>
      <c r="S55" s="48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1:30" ht="22.5" customHeight="1">
      <c r="A56" s="26">
        <v>3</v>
      </c>
      <c r="B56" s="26" t="s">
        <v>538</v>
      </c>
      <c r="C56" s="26">
        <v>31</v>
      </c>
      <c r="D56" s="29" t="s">
        <v>1151</v>
      </c>
      <c r="E56" s="31">
        <v>314</v>
      </c>
      <c r="F56" s="31" t="s">
        <v>1356</v>
      </c>
      <c r="G56" s="28" t="s">
        <v>1358</v>
      </c>
      <c r="H56" s="66" t="s">
        <v>1601</v>
      </c>
      <c r="I56" s="29"/>
      <c r="J56" s="38"/>
      <c r="K56" s="48"/>
      <c r="L56" s="38"/>
      <c r="M56" s="38"/>
      <c r="N56" s="29"/>
      <c r="O56" s="38" t="s">
        <v>986</v>
      </c>
      <c r="P56" s="38" t="s">
        <v>987</v>
      </c>
      <c r="Q56" s="38" t="s">
        <v>1437</v>
      </c>
      <c r="R56" s="38"/>
      <c r="S56" s="48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 ht="22.5" customHeight="1">
      <c r="A57" s="26">
        <v>3</v>
      </c>
      <c r="B57" s="26" t="s">
        <v>538</v>
      </c>
      <c r="C57" s="26">
        <v>31</v>
      </c>
      <c r="D57" s="29" t="s">
        <v>1151</v>
      </c>
      <c r="E57" s="31">
        <v>314</v>
      </c>
      <c r="F57" s="31" t="s">
        <v>1356</v>
      </c>
      <c r="G57" s="28" t="s">
        <v>1358</v>
      </c>
      <c r="H57" s="66" t="s">
        <v>1605</v>
      </c>
      <c r="I57" s="29" t="s">
        <v>1607</v>
      </c>
      <c r="J57" s="38"/>
      <c r="K57" s="48"/>
      <c r="L57" s="38" t="s">
        <v>1428</v>
      </c>
      <c r="M57" s="38" t="s">
        <v>1435</v>
      </c>
      <c r="N57" s="28" t="s">
        <v>1436</v>
      </c>
      <c r="O57" s="38" t="s">
        <v>986</v>
      </c>
      <c r="P57" s="38" t="s">
        <v>987</v>
      </c>
      <c r="Q57" s="38" t="s">
        <v>1437</v>
      </c>
      <c r="R57" s="38"/>
      <c r="S57" s="48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 ht="22.5" customHeight="1">
      <c r="A58" s="26">
        <v>3</v>
      </c>
      <c r="B58" s="26" t="s">
        <v>538</v>
      </c>
      <c r="C58" s="26">
        <v>31</v>
      </c>
      <c r="D58" s="29" t="s">
        <v>1151</v>
      </c>
      <c r="E58" s="31">
        <v>314</v>
      </c>
      <c r="F58" s="31" t="s">
        <v>1356</v>
      </c>
      <c r="G58" s="28" t="s">
        <v>1358</v>
      </c>
      <c r="H58" s="33" t="s">
        <v>1625</v>
      </c>
      <c r="I58" s="29" t="s">
        <v>1628</v>
      </c>
      <c r="J58" s="38"/>
      <c r="K58" s="48"/>
      <c r="L58" s="38" t="s">
        <v>1428</v>
      </c>
      <c r="M58" s="38" t="s">
        <v>1435</v>
      </c>
      <c r="N58" s="28" t="s">
        <v>1436</v>
      </c>
      <c r="O58" s="38" t="s">
        <v>986</v>
      </c>
      <c r="P58" s="38" t="s">
        <v>987</v>
      </c>
      <c r="Q58" s="38" t="s">
        <v>1437</v>
      </c>
      <c r="R58" s="38"/>
      <c r="S58" s="48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 ht="22.5" customHeight="1">
      <c r="A59" s="26">
        <v>3</v>
      </c>
      <c r="B59" s="26" t="s">
        <v>538</v>
      </c>
      <c r="C59" s="26">
        <v>31</v>
      </c>
      <c r="D59" s="29" t="s">
        <v>1151</v>
      </c>
      <c r="E59" s="31">
        <v>314</v>
      </c>
      <c r="F59" s="31" t="s">
        <v>1356</v>
      </c>
      <c r="G59" s="28" t="s">
        <v>1358</v>
      </c>
      <c r="H59" s="33" t="s">
        <v>1635</v>
      </c>
      <c r="I59" s="29" t="s">
        <v>1636</v>
      </c>
      <c r="J59" s="38"/>
      <c r="K59" s="48"/>
      <c r="L59" s="38" t="s">
        <v>1428</v>
      </c>
      <c r="M59" s="38" t="s">
        <v>1435</v>
      </c>
      <c r="N59" s="28" t="s">
        <v>1436</v>
      </c>
      <c r="O59" s="38" t="s">
        <v>986</v>
      </c>
      <c r="P59" s="38" t="s">
        <v>987</v>
      </c>
      <c r="Q59" s="38" t="s">
        <v>1641</v>
      </c>
      <c r="R59" s="38"/>
      <c r="S59" s="48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 ht="22.5" customHeight="1">
      <c r="A60" s="26">
        <v>3</v>
      </c>
      <c r="B60" s="26" t="s">
        <v>538</v>
      </c>
      <c r="C60" s="26">
        <v>31</v>
      </c>
      <c r="D60" s="29" t="s">
        <v>1151</v>
      </c>
      <c r="E60" s="31">
        <v>315</v>
      </c>
      <c r="F60" s="31" t="s">
        <v>1642</v>
      </c>
      <c r="G60" s="29"/>
      <c r="H60" s="33" t="s">
        <v>1643</v>
      </c>
      <c r="I60" s="29" t="s">
        <v>1644</v>
      </c>
      <c r="J60" s="38"/>
      <c r="K60" s="36"/>
      <c r="L60" s="38" t="s">
        <v>1645</v>
      </c>
      <c r="M60" s="38" t="s">
        <v>1646</v>
      </c>
      <c r="N60" s="28" t="s">
        <v>1647</v>
      </c>
      <c r="O60" s="38" t="s">
        <v>1649</v>
      </c>
      <c r="P60" s="38" t="s">
        <v>1650</v>
      </c>
      <c r="Q60" s="38" t="s">
        <v>1652</v>
      </c>
      <c r="R60" s="38"/>
      <c r="S60" s="44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 ht="22.5" customHeight="1">
      <c r="A61" s="26">
        <v>3</v>
      </c>
      <c r="B61" s="26" t="s">
        <v>538</v>
      </c>
      <c r="C61" s="26">
        <v>31</v>
      </c>
      <c r="D61" s="29" t="s">
        <v>1151</v>
      </c>
      <c r="E61" s="31">
        <v>315</v>
      </c>
      <c r="F61" s="31" t="s">
        <v>1642</v>
      </c>
      <c r="G61" s="29"/>
      <c r="H61" s="33" t="s">
        <v>1653</v>
      </c>
      <c r="I61" s="29" t="s">
        <v>1654</v>
      </c>
      <c r="J61" s="38"/>
      <c r="K61" s="36"/>
      <c r="L61" s="38" t="s">
        <v>1645</v>
      </c>
      <c r="M61" s="38" t="s">
        <v>1646</v>
      </c>
      <c r="N61" s="28" t="s">
        <v>1647</v>
      </c>
      <c r="O61" s="38" t="s">
        <v>1649</v>
      </c>
      <c r="P61" s="38" t="s">
        <v>1650</v>
      </c>
      <c r="Q61" s="38" t="s">
        <v>1652</v>
      </c>
      <c r="R61" s="38"/>
      <c r="S61" s="44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0" ht="22.5" customHeight="1">
      <c r="A62" s="26">
        <v>3</v>
      </c>
      <c r="B62" s="26" t="s">
        <v>538</v>
      </c>
      <c r="C62" s="26">
        <v>31</v>
      </c>
      <c r="D62" s="29" t="s">
        <v>1151</v>
      </c>
      <c r="E62" s="31">
        <v>315</v>
      </c>
      <c r="F62" s="31" t="s">
        <v>1642</v>
      </c>
      <c r="G62" s="29"/>
      <c r="H62" s="33" t="s">
        <v>1658</v>
      </c>
      <c r="I62" s="29" t="s">
        <v>1654</v>
      </c>
      <c r="J62" s="38"/>
      <c r="K62" s="36"/>
      <c r="L62" s="38" t="s">
        <v>1645</v>
      </c>
      <c r="M62" s="38" t="s">
        <v>1646</v>
      </c>
      <c r="N62" s="28" t="s">
        <v>1647</v>
      </c>
      <c r="O62" s="38" t="s">
        <v>1649</v>
      </c>
      <c r="P62" s="38" t="s">
        <v>1650</v>
      </c>
      <c r="Q62" s="38" t="s">
        <v>1652</v>
      </c>
      <c r="R62" s="38"/>
      <c r="S62" s="44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30" ht="22.5" customHeight="1">
      <c r="A63" s="26">
        <v>3</v>
      </c>
      <c r="B63" s="26" t="s">
        <v>538</v>
      </c>
      <c r="C63" s="26">
        <v>31</v>
      </c>
      <c r="D63" s="29" t="s">
        <v>1151</v>
      </c>
      <c r="E63" s="31">
        <v>315</v>
      </c>
      <c r="F63" s="31" t="s">
        <v>1642</v>
      </c>
      <c r="G63" s="29"/>
      <c r="H63" s="33" t="s">
        <v>1666</v>
      </c>
      <c r="I63" s="29"/>
      <c r="J63" s="38"/>
      <c r="K63" s="36"/>
      <c r="L63" s="38" t="s">
        <v>1678</v>
      </c>
      <c r="M63" s="38" t="s">
        <v>1679</v>
      </c>
      <c r="N63" s="29"/>
      <c r="O63" s="31" t="s">
        <v>1680</v>
      </c>
      <c r="P63" s="31" t="s">
        <v>1681</v>
      </c>
      <c r="Q63" s="70" t="s">
        <v>1682</v>
      </c>
      <c r="R63" s="70" t="s">
        <v>1683</v>
      </c>
      <c r="S63" s="44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t="22.5" customHeight="1">
      <c r="A64" s="26">
        <v>3</v>
      </c>
      <c r="B64" s="26" t="s">
        <v>538</v>
      </c>
      <c r="C64" s="26">
        <v>31</v>
      </c>
      <c r="D64" s="29" t="s">
        <v>1151</v>
      </c>
      <c r="E64" s="31">
        <v>315</v>
      </c>
      <c r="F64" s="31" t="s">
        <v>1642</v>
      </c>
      <c r="G64" s="29"/>
      <c r="H64" s="33" t="s">
        <v>1684</v>
      </c>
      <c r="I64" s="29"/>
      <c r="J64" s="38"/>
      <c r="K64" s="36"/>
      <c r="L64" s="38" t="s">
        <v>1678</v>
      </c>
      <c r="M64" s="38" t="s">
        <v>1679</v>
      </c>
      <c r="N64" s="29"/>
      <c r="O64" s="31" t="s">
        <v>1680</v>
      </c>
      <c r="P64" s="31" t="s">
        <v>1681</v>
      </c>
      <c r="Q64" s="70" t="s">
        <v>1682</v>
      </c>
      <c r="R64" s="38" t="s">
        <v>1689</v>
      </c>
      <c r="S64" s="44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1:30" ht="22.5" customHeight="1">
      <c r="A65" s="26">
        <v>3</v>
      </c>
      <c r="B65" s="26" t="s">
        <v>538</v>
      </c>
      <c r="C65" s="26">
        <v>31</v>
      </c>
      <c r="D65" s="29" t="s">
        <v>1151</v>
      </c>
      <c r="E65" s="31">
        <v>315</v>
      </c>
      <c r="F65" s="31" t="s">
        <v>1642</v>
      </c>
      <c r="G65" s="29"/>
      <c r="H65" s="33" t="s">
        <v>1699</v>
      </c>
      <c r="I65" s="29"/>
      <c r="J65" s="38"/>
      <c r="K65" s="36"/>
      <c r="L65" s="38" t="s">
        <v>1678</v>
      </c>
      <c r="M65" s="38" t="s">
        <v>1679</v>
      </c>
      <c r="N65" s="29"/>
      <c r="O65" s="31" t="s">
        <v>1680</v>
      </c>
      <c r="P65" s="31" t="s">
        <v>1681</v>
      </c>
      <c r="Q65" s="70" t="s">
        <v>1682</v>
      </c>
      <c r="R65" s="38" t="s">
        <v>1701</v>
      </c>
      <c r="S65" s="44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1:30" ht="22.5" customHeight="1">
      <c r="A66" s="26">
        <v>3</v>
      </c>
      <c r="B66" s="26" t="s">
        <v>538</v>
      </c>
      <c r="C66" s="26">
        <v>31</v>
      </c>
      <c r="D66" s="29" t="s">
        <v>1151</v>
      </c>
      <c r="E66" s="31">
        <v>315</v>
      </c>
      <c r="F66" s="31" t="s">
        <v>1642</v>
      </c>
      <c r="G66" s="29"/>
      <c r="H66" s="66" t="s">
        <v>1705</v>
      </c>
      <c r="I66" s="29" t="s">
        <v>1706</v>
      </c>
      <c r="J66" s="38"/>
      <c r="K66" s="36"/>
      <c r="L66" s="38" t="s">
        <v>1707</v>
      </c>
      <c r="M66" s="38" t="s">
        <v>1708</v>
      </c>
      <c r="N66" s="29" t="s">
        <v>1710</v>
      </c>
      <c r="O66" s="31" t="s">
        <v>1680</v>
      </c>
      <c r="P66" s="38" t="s">
        <v>1681</v>
      </c>
      <c r="Q66" s="48" t="s">
        <v>1711</v>
      </c>
      <c r="R66" s="38" t="s">
        <v>1712</v>
      </c>
      <c r="S66" s="44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1:30" ht="22.5" customHeight="1">
      <c r="A67" s="26">
        <v>3</v>
      </c>
      <c r="B67" s="26" t="s">
        <v>538</v>
      </c>
      <c r="C67" s="26">
        <v>31</v>
      </c>
      <c r="D67" s="29" t="s">
        <v>1151</v>
      </c>
      <c r="E67" s="31">
        <v>315</v>
      </c>
      <c r="F67" s="31" t="s">
        <v>1642</v>
      </c>
      <c r="G67" s="29"/>
      <c r="H67" s="66" t="s">
        <v>1726</v>
      </c>
      <c r="I67" s="29" t="s">
        <v>1728</v>
      </c>
      <c r="J67" s="38"/>
      <c r="K67" s="36"/>
      <c r="L67" s="38" t="s">
        <v>1707</v>
      </c>
      <c r="M67" s="38" t="s">
        <v>1708</v>
      </c>
      <c r="N67" s="29" t="s">
        <v>1710</v>
      </c>
      <c r="O67" s="31" t="s">
        <v>1680</v>
      </c>
      <c r="P67" s="38" t="s">
        <v>1681</v>
      </c>
      <c r="Q67" s="48" t="s">
        <v>1711</v>
      </c>
      <c r="R67" s="38" t="s">
        <v>1742</v>
      </c>
      <c r="S67" s="44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1:30" ht="22.5" customHeight="1">
      <c r="A68" s="26">
        <v>3</v>
      </c>
      <c r="B68" s="26" t="s">
        <v>538</v>
      </c>
      <c r="C68" s="26">
        <v>31</v>
      </c>
      <c r="D68" s="29" t="s">
        <v>1151</v>
      </c>
      <c r="E68" s="31">
        <v>315</v>
      </c>
      <c r="F68" s="31" t="s">
        <v>1642</v>
      </c>
      <c r="G68" s="29"/>
      <c r="H68" s="66" t="s">
        <v>1748</v>
      </c>
      <c r="I68" s="29" t="s">
        <v>1749</v>
      </c>
      <c r="J68" s="38"/>
      <c r="K68" s="36"/>
      <c r="L68" s="38" t="s">
        <v>1707</v>
      </c>
      <c r="M68" s="38" t="s">
        <v>1708</v>
      </c>
      <c r="N68" s="29" t="s">
        <v>1710</v>
      </c>
      <c r="O68" s="31" t="s">
        <v>1680</v>
      </c>
      <c r="P68" s="38" t="s">
        <v>1681</v>
      </c>
      <c r="Q68" s="48" t="s">
        <v>1711</v>
      </c>
      <c r="R68" s="38" t="s">
        <v>1752</v>
      </c>
      <c r="S68" s="44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t="22.5" customHeight="1">
      <c r="A69" s="26">
        <v>3</v>
      </c>
      <c r="B69" s="26" t="s">
        <v>538</v>
      </c>
      <c r="C69" s="26">
        <v>31</v>
      </c>
      <c r="D69" s="29" t="s">
        <v>1151</v>
      </c>
      <c r="E69" s="31">
        <v>315</v>
      </c>
      <c r="F69" s="31" t="s">
        <v>1642</v>
      </c>
      <c r="G69" s="29"/>
      <c r="H69" s="33" t="s">
        <v>1770</v>
      </c>
      <c r="I69" s="29"/>
      <c r="J69" s="38"/>
      <c r="K69" s="36"/>
      <c r="L69" s="38" t="s">
        <v>1678</v>
      </c>
      <c r="M69" s="38" t="s">
        <v>1679</v>
      </c>
      <c r="N69" s="29"/>
      <c r="O69" s="31" t="s">
        <v>1680</v>
      </c>
      <c r="P69" s="38" t="s">
        <v>1681</v>
      </c>
      <c r="Q69" s="48" t="s">
        <v>1682</v>
      </c>
      <c r="R69" s="38" t="s">
        <v>1771</v>
      </c>
      <c r="S69" s="44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1:30" ht="22.5" customHeight="1">
      <c r="A70" s="26">
        <v>3</v>
      </c>
      <c r="B70" s="26" t="s">
        <v>538</v>
      </c>
      <c r="C70" s="26">
        <v>31</v>
      </c>
      <c r="D70" s="29" t="s">
        <v>1151</v>
      </c>
      <c r="E70" s="31">
        <v>315</v>
      </c>
      <c r="F70" s="31" t="s">
        <v>1642</v>
      </c>
      <c r="G70" s="56" t="s">
        <v>1772</v>
      </c>
      <c r="H70" s="50" t="s">
        <v>1773</v>
      </c>
      <c r="I70" s="40" t="s">
        <v>919</v>
      </c>
      <c r="J70" s="42"/>
      <c r="K70" s="48"/>
      <c r="L70" s="42" t="s">
        <v>921</v>
      </c>
      <c r="M70" s="42" t="s">
        <v>935</v>
      </c>
      <c r="N70" s="40"/>
      <c r="O70" s="38" t="s">
        <v>936</v>
      </c>
      <c r="P70" s="38" t="s">
        <v>937</v>
      </c>
      <c r="Q70" s="38" t="s">
        <v>939</v>
      </c>
      <c r="R70" s="38"/>
      <c r="S70" s="48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0" ht="22.5" customHeight="1">
      <c r="A71" s="26">
        <v>3</v>
      </c>
      <c r="B71" s="26" t="s">
        <v>538</v>
      </c>
      <c r="C71" s="26">
        <v>31</v>
      </c>
      <c r="D71" s="29" t="s">
        <v>1151</v>
      </c>
      <c r="E71" s="31">
        <v>315</v>
      </c>
      <c r="F71" s="31" t="s">
        <v>1642</v>
      </c>
      <c r="G71" s="56" t="s">
        <v>1772</v>
      </c>
      <c r="H71" s="50" t="s">
        <v>1774</v>
      </c>
      <c r="I71" s="40" t="s">
        <v>1775</v>
      </c>
      <c r="J71" s="42" t="s">
        <v>1776</v>
      </c>
      <c r="K71" s="48"/>
      <c r="L71" s="38" t="s">
        <v>1777</v>
      </c>
      <c r="M71" s="42" t="s">
        <v>1778</v>
      </c>
      <c r="N71" s="29"/>
      <c r="O71" s="38" t="s">
        <v>1779</v>
      </c>
      <c r="P71" s="38" t="s">
        <v>1780</v>
      </c>
      <c r="Q71" s="38" t="s">
        <v>1781</v>
      </c>
      <c r="R71" s="38"/>
      <c r="S71" s="48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1:30" ht="22.5" customHeight="1">
      <c r="A72" s="26">
        <v>3</v>
      </c>
      <c r="B72" s="26" t="s">
        <v>538</v>
      </c>
      <c r="C72" s="26">
        <v>31</v>
      </c>
      <c r="D72" s="29" t="s">
        <v>1151</v>
      </c>
      <c r="E72" s="31">
        <v>315</v>
      </c>
      <c r="F72" s="31" t="s">
        <v>1642</v>
      </c>
      <c r="G72" s="29"/>
      <c r="H72" s="33" t="s">
        <v>1789</v>
      </c>
      <c r="I72" s="29"/>
      <c r="J72" s="38"/>
      <c r="K72" s="36"/>
      <c r="L72" s="38" t="s">
        <v>1428</v>
      </c>
      <c r="M72" s="38" t="s">
        <v>1435</v>
      </c>
      <c r="N72" s="29" t="s">
        <v>1797</v>
      </c>
      <c r="O72" s="31" t="s">
        <v>1680</v>
      </c>
      <c r="P72" s="38" t="s">
        <v>1681</v>
      </c>
      <c r="Q72" s="48" t="s">
        <v>1799</v>
      </c>
      <c r="R72" s="38" t="s">
        <v>1801</v>
      </c>
      <c r="S72" s="44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1:30" ht="22.5" customHeight="1">
      <c r="A73" s="26">
        <v>3</v>
      </c>
      <c r="B73" s="26" t="s">
        <v>538</v>
      </c>
      <c r="C73" s="26">
        <v>31</v>
      </c>
      <c r="D73" s="29" t="s">
        <v>1151</v>
      </c>
      <c r="E73" s="31">
        <v>315</v>
      </c>
      <c r="F73" s="31" t="s">
        <v>1642</v>
      </c>
      <c r="G73" s="29"/>
      <c r="H73" s="66" t="s">
        <v>1817</v>
      </c>
      <c r="I73" s="29"/>
      <c r="J73" s="38"/>
      <c r="K73" s="36"/>
      <c r="L73" s="38"/>
      <c r="M73" s="38"/>
      <c r="N73" s="29"/>
      <c r="O73" s="31" t="s">
        <v>1680</v>
      </c>
      <c r="P73" s="38"/>
      <c r="Q73" s="48"/>
      <c r="R73" s="38"/>
      <c r="S73" s="44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 ht="22.5" customHeight="1">
      <c r="A74" s="26">
        <v>3</v>
      </c>
      <c r="B74" s="26" t="s">
        <v>538</v>
      </c>
      <c r="C74" s="26">
        <v>31</v>
      </c>
      <c r="D74" s="29" t="s">
        <v>1151</v>
      </c>
      <c r="E74" s="31">
        <v>315</v>
      </c>
      <c r="F74" s="31" t="s">
        <v>1642</v>
      </c>
      <c r="G74" s="29"/>
      <c r="H74" s="66" t="s">
        <v>1823</v>
      </c>
      <c r="I74" s="29"/>
      <c r="J74" s="38"/>
      <c r="K74" s="36"/>
      <c r="L74" s="48"/>
      <c r="M74" s="48"/>
      <c r="N74" s="48"/>
      <c r="O74" s="64" t="s">
        <v>1680</v>
      </c>
      <c r="P74" s="48"/>
      <c r="Q74" s="48"/>
      <c r="R74" s="38"/>
      <c r="S74" s="44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1:30" ht="22.5" customHeight="1">
      <c r="A75" s="134">
        <v>3</v>
      </c>
      <c r="B75" s="134" t="s">
        <v>538</v>
      </c>
      <c r="C75" s="134">
        <v>31</v>
      </c>
      <c r="D75" s="135" t="s">
        <v>1151</v>
      </c>
      <c r="E75" s="126">
        <v>315</v>
      </c>
      <c r="F75" s="126" t="s">
        <v>1642</v>
      </c>
      <c r="G75" s="135"/>
      <c r="H75" s="139" t="s">
        <v>1840</v>
      </c>
      <c r="I75" s="135"/>
      <c r="J75" s="141"/>
      <c r="K75" s="132"/>
      <c r="L75" s="142" t="s">
        <v>1845</v>
      </c>
      <c r="M75" s="142" t="s">
        <v>1339</v>
      </c>
      <c r="N75" s="142" t="s">
        <v>1840</v>
      </c>
      <c r="O75" s="144" t="s">
        <v>1680</v>
      </c>
      <c r="P75" s="142" t="s">
        <v>1681</v>
      </c>
      <c r="Q75" s="142" t="s">
        <v>1848</v>
      </c>
      <c r="R75" s="38" t="s">
        <v>1849</v>
      </c>
      <c r="S75" s="131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5"/>
    </row>
    <row r="76" spans="1:30" ht="22.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38" t="s">
        <v>1858</v>
      </c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5"/>
    </row>
    <row r="77" spans="1:30" ht="22.5" customHeight="1">
      <c r="A77" s="134">
        <v>3</v>
      </c>
      <c r="B77" s="134" t="s">
        <v>538</v>
      </c>
      <c r="C77" s="134">
        <v>31</v>
      </c>
      <c r="D77" s="135" t="s">
        <v>1151</v>
      </c>
      <c r="E77" s="126">
        <v>315</v>
      </c>
      <c r="F77" s="126" t="s">
        <v>1642</v>
      </c>
      <c r="G77" s="137" t="s">
        <v>1772</v>
      </c>
      <c r="H77" s="136" t="s">
        <v>1866</v>
      </c>
      <c r="I77" s="129"/>
      <c r="J77" s="128" t="s">
        <v>1868</v>
      </c>
      <c r="K77" s="142"/>
      <c r="L77" s="142" t="s">
        <v>1872</v>
      </c>
      <c r="M77" s="142" t="s">
        <v>1874</v>
      </c>
      <c r="N77" s="142" t="s">
        <v>1875</v>
      </c>
      <c r="O77" s="142" t="s">
        <v>1877</v>
      </c>
      <c r="P77" s="142" t="s">
        <v>1878</v>
      </c>
      <c r="Q77" s="142" t="s">
        <v>1879</v>
      </c>
      <c r="R77" s="38" t="s">
        <v>1880</v>
      </c>
      <c r="S77" s="142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5"/>
    </row>
    <row r="78" spans="1:30" ht="22.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38" t="s">
        <v>1895</v>
      </c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5"/>
    </row>
    <row r="79" spans="1:30" ht="22.5" customHeight="1">
      <c r="A79" s="26">
        <v>3</v>
      </c>
      <c r="B79" s="26" t="s">
        <v>538</v>
      </c>
      <c r="C79" s="26">
        <v>31</v>
      </c>
      <c r="D79" s="29" t="s">
        <v>1151</v>
      </c>
      <c r="E79" s="31">
        <v>315</v>
      </c>
      <c r="F79" s="31" t="s">
        <v>1642</v>
      </c>
      <c r="G79" s="29"/>
      <c r="H79" s="33" t="s">
        <v>1900</v>
      </c>
      <c r="I79" s="29" t="s">
        <v>1903</v>
      </c>
      <c r="J79" s="38"/>
      <c r="K79" s="36"/>
      <c r="L79" s="48" t="s">
        <v>1905</v>
      </c>
      <c r="M79" s="48" t="s">
        <v>1906</v>
      </c>
      <c r="N79" s="69" t="s">
        <v>1909</v>
      </c>
      <c r="O79" s="64" t="s">
        <v>1680</v>
      </c>
      <c r="P79" s="48" t="s">
        <v>1681</v>
      </c>
      <c r="Q79" s="48" t="s">
        <v>1848</v>
      </c>
      <c r="R79" s="38" t="s">
        <v>1910</v>
      </c>
      <c r="S79" s="44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1:30" ht="22.5" customHeight="1">
      <c r="A80" s="26">
        <v>3</v>
      </c>
      <c r="B80" s="26" t="s">
        <v>538</v>
      </c>
      <c r="C80" s="26">
        <v>31</v>
      </c>
      <c r="D80" s="29" t="s">
        <v>1151</v>
      </c>
      <c r="E80" s="31">
        <v>315</v>
      </c>
      <c r="F80" s="31" t="s">
        <v>1642</v>
      </c>
      <c r="G80" s="56" t="s">
        <v>1772</v>
      </c>
      <c r="H80" s="50" t="s">
        <v>1916</v>
      </c>
      <c r="I80" s="52" t="s">
        <v>1917</v>
      </c>
      <c r="J80" s="42"/>
      <c r="K80" s="48"/>
      <c r="L80" s="95" t="s">
        <v>1754</v>
      </c>
      <c r="M80" s="95" t="s">
        <v>1756</v>
      </c>
      <c r="N80" s="95"/>
      <c r="O80" s="48" t="s">
        <v>936</v>
      </c>
      <c r="P80" s="48" t="s">
        <v>937</v>
      </c>
      <c r="Q80" s="48" t="s">
        <v>1758</v>
      </c>
      <c r="R80" s="38" t="s">
        <v>1932</v>
      </c>
      <c r="S80" s="48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1:30" ht="22.5" customHeight="1">
      <c r="A81" s="26">
        <v>3</v>
      </c>
      <c r="B81" s="26" t="s">
        <v>538</v>
      </c>
      <c r="C81" s="26">
        <v>31</v>
      </c>
      <c r="D81" s="29" t="s">
        <v>1151</v>
      </c>
      <c r="E81" s="31">
        <v>315</v>
      </c>
      <c r="F81" s="31" t="s">
        <v>1642</v>
      </c>
      <c r="G81" s="29"/>
      <c r="H81" s="33" t="s">
        <v>1941</v>
      </c>
      <c r="I81" s="29"/>
      <c r="J81" s="38"/>
      <c r="K81" s="36"/>
      <c r="L81" s="48" t="s">
        <v>1678</v>
      </c>
      <c r="M81" s="48" t="s">
        <v>1679</v>
      </c>
      <c r="N81" s="48"/>
      <c r="O81" s="64" t="s">
        <v>1680</v>
      </c>
      <c r="P81" s="48" t="s">
        <v>1681</v>
      </c>
      <c r="Q81" s="48" t="s">
        <v>1682</v>
      </c>
      <c r="R81" s="38" t="s">
        <v>1943</v>
      </c>
      <c r="S81" s="44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1:30" ht="22.5" customHeight="1">
      <c r="A82" s="26">
        <v>3</v>
      </c>
      <c r="B82" s="26" t="s">
        <v>538</v>
      </c>
      <c r="C82" s="26">
        <v>31</v>
      </c>
      <c r="D82" s="29" t="s">
        <v>1151</v>
      </c>
      <c r="E82" s="31">
        <v>315</v>
      </c>
      <c r="F82" s="31" t="s">
        <v>1642</v>
      </c>
      <c r="G82" s="29"/>
      <c r="H82" s="33" t="s">
        <v>1954</v>
      </c>
      <c r="I82" s="29" t="s">
        <v>1956</v>
      </c>
      <c r="J82" s="38"/>
      <c r="K82" s="36"/>
      <c r="L82" s="48" t="s">
        <v>1957</v>
      </c>
      <c r="M82" s="48" t="s">
        <v>1958</v>
      </c>
      <c r="N82" s="69" t="s">
        <v>1959</v>
      </c>
      <c r="O82" s="64" t="s">
        <v>1680</v>
      </c>
      <c r="P82" s="48" t="s">
        <v>1681</v>
      </c>
      <c r="Q82" s="48" t="s">
        <v>1963</v>
      </c>
      <c r="R82" s="38" t="s">
        <v>1966</v>
      </c>
      <c r="S82" s="44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1:30" ht="22.5" customHeight="1">
      <c r="A83" s="26">
        <v>3</v>
      </c>
      <c r="B83" s="26" t="s">
        <v>538</v>
      </c>
      <c r="C83" s="26">
        <v>31</v>
      </c>
      <c r="D83" s="29" t="s">
        <v>1151</v>
      </c>
      <c r="E83" s="31">
        <v>315</v>
      </c>
      <c r="F83" s="31" t="s">
        <v>1642</v>
      </c>
      <c r="G83" s="29"/>
      <c r="H83" s="33" t="s">
        <v>1970</v>
      </c>
      <c r="I83" s="29" t="s">
        <v>1971</v>
      </c>
      <c r="J83" s="38"/>
      <c r="K83" s="36"/>
      <c r="L83" s="48" t="s">
        <v>1957</v>
      </c>
      <c r="M83" s="48" t="s">
        <v>1958</v>
      </c>
      <c r="N83" s="48" t="s">
        <v>1974</v>
      </c>
      <c r="O83" s="64" t="s">
        <v>1680</v>
      </c>
      <c r="P83" s="48" t="s">
        <v>1681</v>
      </c>
      <c r="Q83" s="48" t="s">
        <v>1975</v>
      </c>
      <c r="R83" s="38" t="s">
        <v>1976</v>
      </c>
      <c r="S83" s="44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1:30" ht="22.5" customHeight="1">
      <c r="A84" s="26">
        <v>3</v>
      </c>
      <c r="B84" s="26" t="s">
        <v>538</v>
      </c>
      <c r="C84" s="26">
        <v>31</v>
      </c>
      <c r="D84" s="29" t="s">
        <v>1151</v>
      </c>
      <c r="E84" s="31">
        <v>315</v>
      </c>
      <c r="F84" s="31" t="s">
        <v>1642</v>
      </c>
      <c r="G84" s="29"/>
      <c r="H84" s="33" t="s">
        <v>1979</v>
      </c>
      <c r="I84" s="29" t="s">
        <v>1981</v>
      </c>
      <c r="J84" s="38"/>
      <c r="K84" s="36"/>
      <c r="L84" s="48" t="s">
        <v>1645</v>
      </c>
      <c r="M84" s="48" t="s">
        <v>1646</v>
      </c>
      <c r="N84" s="69" t="s">
        <v>1985</v>
      </c>
      <c r="O84" s="48" t="s">
        <v>1649</v>
      </c>
      <c r="P84" s="48" t="s">
        <v>1650</v>
      </c>
      <c r="Q84" s="48" t="s">
        <v>1986</v>
      </c>
      <c r="R84" s="38"/>
      <c r="S84" s="44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1:30" ht="22.5" customHeight="1">
      <c r="A85" s="26">
        <v>3</v>
      </c>
      <c r="B85" s="26" t="s">
        <v>538</v>
      </c>
      <c r="C85" s="26">
        <v>31</v>
      </c>
      <c r="D85" s="29" t="s">
        <v>1151</v>
      </c>
      <c r="E85" s="31">
        <v>315</v>
      </c>
      <c r="F85" s="31" t="s">
        <v>1642</v>
      </c>
      <c r="G85" s="29"/>
      <c r="H85" s="33" t="s">
        <v>1990</v>
      </c>
      <c r="I85" s="29"/>
      <c r="J85" s="38"/>
      <c r="K85" s="36"/>
      <c r="L85" s="48" t="s">
        <v>1678</v>
      </c>
      <c r="M85" s="48" t="s">
        <v>1679</v>
      </c>
      <c r="N85" s="48"/>
      <c r="O85" s="64" t="s">
        <v>1680</v>
      </c>
      <c r="P85" s="48" t="s">
        <v>1681</v>
      </c>
      <c r="Q85" s="48" t="s">
        <v>1682</v>
      </c>
      <c r="R85" s="38" t="s">
        <v>1991</v>
      </c>
      <c r="S85" s="44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1:30" ht="22.5" customHeight="1">
      <c r="A86" s="26">
        <v>3</v>
      </c>
      <c r="B86" s="26" t="s">
        <v>538</v>
      </c>
      <c r="C86" s="26">
        <v>31</v>
      </c>
      <c r="D86" s="29" t="s">
        <v>1151</v>
      </c>
      <c r="E86" s="31">
        <v>315</v>
      </c>
      <c r="F86" s="31" t="s">
        <v>1642</v>
      </c>
      <c r="G86" s="29"/>
      <c r="H86" s="33" t="s">
        <v>1994</v>
      </c>
      <c r="I86" s="29" t="s">
        <v>1995</v>
      </c>
      <c r="J86" s="38"/>
      <c r="K86" s="36"/>
      <c r="L86" s="48" t="s">
        <v>1905</v>
      </c>
      <c r="M86" s="48" t="s">
        <v>1906</v>
      </c>
      <c r="N86" s="69" t="s">
        <v>1909</v>
      </c>
      <c r="O86" s="64" t="s">
        <v>1680</v>
      </c>
      <c r="P86" s="48" t="s">
        <v>1681</v>
      </c>
      <c r="Q86" s="48" t="s">
        <v>1848</v>
      </c>
      <c r="R86" s="38" t="s">
        <v>1910</v>
      </c>
      <c r="S86" s="44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1:30" ht="22.5" customHeight="1">
      <c r="A87" s="26">
        <v>3</v>
      </c>
      <c r="B87" s="26" t="s">
        <v>538</v>
      </c>
      <c r="C87" s="26">
        <v>31</v>
      </c>
      <c r="D87" s="29" t="s">
        <v>1151</v>
      </c>
      <c r="E87" s="31">
        <v>315</v>
      </c>
      <c r="F87" s="31" t="s">
        <v>1642</v>
      </c>
      <c r="G87" s="29"/>
      <c r="H87" s="33" t="s">
        <v>1999</v>
      </c>
      <c r="I87" s="29" t="s">
        <v>2000</v>
      </c>
      <c r="J87" s="38"/>
      <c r="K87" s="36"/>
      <c r="L87" s="48" t="s">
        <v>1957</v>
      </c>
      <c r="M87" s="48" t="s">
        <v>1958</v>
      </c>
      <c r="N87" s="69" t="s">
        <v>1959</v>
      </c>
      <c r="O87" s="64" t="s">
        <v>1680</v>
      </c>
      <c r="P87" s="48" t="s">
        <v>1681</v>
      </c>
      <c r="Q87" s="48" t="s">
        <v>1963</v>
      </c>
      <c r="R87" s="38" t="s">
        <v>2005</v>
      </c>
      <c r="S87" s="44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1:30" ht="22.5" customHeight="1">
      <c r="A88" s="26">
        <v>3</v>
      </c>
      <c r="B88" s="26" t="s">
        <v>538</v>
      </c>
      <c r="C88" s="26">
        <v>31</v>
      </c>
      <c r="D88" s="29" t="s">
        <v>1151</v>
      </c>
      <c r="E88" s="31">
        <v>315</v>
      </c>
      <c r="F88" s="31" t="s">
        <v>1642</v>
      </c>
      <c r="G88" s="29"/>
      <c r="H88" s="33" t="s">
        <v>2009</v>
      </c>
      <c r="I88" s="29" t="s">
        <v>2010</v>
      </c>
      <c r="J88" s="38"/>
      <c r="K88" s="36"/>
      <c r="L88" s="48" t="s">
        <v>1905</v>
      </c>
      <c r="M88" s="48" t="s">
        <v>1906</v>
      </c>
      <c r="N88" s="69" t="s">
        <v>1909</v>
      </c>
      <c r="O88" s="64" t="s">
        <v>1680</v>
      </c>
      <c r="P88" s="48" t="s">
        <v>1681</v>
      </c>
      <c r="Q88" s="48" t="s">
        <v>1848</v>
      </c>
      <c r="R88" s="38" t="s">
        <v>2013</v>
      </c>
      <c r="S88" s="44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1:30" ht="22.5" customHeight="1">
      <c r="A89" s="26">
        <v>3</v>
      </c>
      <c r="B89" s="26" t="s">
        <v>538</v>
      </c>
      <c r="C89" s="26">
        <v>31</v>
      </c>
      <c r="D89" s="29" t="s">
        <v>1151</v>
      </c>
      <c r="E89" s="31">
        <v>315</v>
      </c>
      <c r="F89" s="31" t="s">
        <v>1642</v>
      </c>
      <c r="G89" s="29"/>
      <c r="H89" s="33" t="s">
        <v>2017</v>
      </c>
      <c r="I89" s="29" t="s">
        <v>2019</v>
      </c>
      <c r="J89" s="38"/>
      <c r="K89" s="36"/>
      <c r="L89" s="48" t="s">
        <v>1678</v>
      </c>
      <c r="M89" s="48" t="s">
        <v>1679</v>
      </c>
      <c r="N89" s="48"/>
      <c r="O89" s="64" t="s">
        <v>1680</v>
      </c>
      <c r="P89" s="48" t="s">
        <v>1681</v>
      </c>
      <c r="Q89" s="48" t="s">
        <v>1682</v>
      </c>
      <c r="R89" s="38" t="s">
        <v>2026</v>
      </c>
      <c r="S89" s="44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1:30" ht="22.5" customHeight="1">
      <c r="A90" s="26">
        <v>3</v>
      </c>
      <c r="B90" s="26" t="s">
        <v>538</v>
      </c>
      <c r="C90" s="26">
        <v>31</v>
      </c>
      <c r="D90" s="29" t="s">
        <v>1151</v>
      </c>
      <c r="E90" s="31">
        <v>315</v>
      </c>
      <c r="F90" s="31" t="s">
        <v>1642</v>
      </c>
      <c r="G90" s="29"/>
      <c r="H90" s="33" t="s">
        <v>2029</v>
      </c>
      <c r="I90" s="29"/>
      <c r="J90" s="38"/>
      <c r="K90" s="36"/>
      <c r="L90" s="48" t="s">
        <v>1957</v>
      </c>
      <c r="M90" s="48" t="s">
        <v>1958</v>
      </c>
      <c r="N90" s="48" t="s">
        <v>1974</v>
      </c>
      <c r="O90" s="64" t="s">
        <v>1680</v>
      </c>
      <c r="P90" s="48" t="s">
        <v>1681</v>
      </c>
      <c r="Q90" s="48" t="s">
        <v>1975</v>
      </c>
      <c r="R90" s="38" t="s">
        <v>2031</v>
      </c>
      <c r="S90" s="44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1:30" ht="22.5" customHeight="1">
      <c r="A91" s="26">
        <v>3</v>
      </c>
      <c r="B91" s="26" t="s">
        <v>538</v>
      </c>
      <c r="C91" s="26">
        <v>31</v>
      </c>
      <c r="D91" s="29" t="s">
        <v>1151</v>
      </c>
      <c r="E91" s="31">
        <v>315</v>
      </c>
      <c r="F91" s="31" t="s">
        <v>1642</v>
      </c>
      <c r="G91" s="29"/>
      <c r="H91" s="66" t="s">
        <v>2037</v>
      </c>
      <c r="I91" s="28" t="s">
        <v>2038</v>
      </c>
      <c r="J91" s="38"/>
      <c r="K91" s="36"/>
      <c r="L91" s="48" t="s">
        <v>1957</v>
      </c>
      <c r="M91" s="48" t="s">
        <v>1958</v>
      </c>
      <c r="N91" s="48" t="s">
        <v>1974</v>
      </c>
      <c r="O91" s="64" t="s">
        <v>1680</v>
      </c>
      <c r="P91" s="48" t="s">
        <v>1681</v>
      </c>
      <c r="Q91" s="48" t="s">
        <v>1975</v>
      </c>
      <c r="R91" s="38" t="s">
        <v>2039</v>
      </c>
      <c r="S91" s="98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1:30" ht="22.5" customHeight="1">
      <c r="A92" s="26">
        <v>3</v>
      </c>
      <c r="B92" s="26" t="s">
        <v>538</v>
      </c>
      <c r="C92" s="26">
        <v>31</v>
      </c>
      <c r="D92" s="29" t="s">
        <v>1151</v>
      </c>
      <c r="E92" s="31">
        <v>315</v>
      </c>
      <c r="F92" s="31" t="s">
        <v>1642</v>
      </c>
      <c r="G92" s="29"/>
      <c r="H92" s="66" t="s">
        <v>2051</v>
      </c>
      <c r="I92" s="28" t="s">
        <v>2052</v>
      </c>
      <c r="J92" s="38"/>
      <c r="K92" s="36"/>
      <c r="L92" s="48" t="s">
        <v>1957</v>
      </c>
      <c r="M92" s="48" t="s">
        <v>1958</v>
      </c>
      <c r="N92" s="48" t="s">
        <v>1974</v>
      </c>
      <c r="O92" s="64" t="s">
        <v>1680</v>
      </c>
      <c r="P92" s="48" t="s">
        <v>1681</v>
      </c>
      <c r="Q92" s="48" t="s">
        <v>1975</v>
      </c>
      <c r="R92" s="38" t="s">
        <v>2056</v>
      </c>
      <c r="S92" s="44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1:30" ht="22.5" customHeight="1">
      <c r="A93" s="26">
        <v>3</v>
      </c>
      <c r="B93" s="26" t="s">
        <v>538</v>
      </c>
      <c r="C93" s="26">
        <v>31</v>
      </c>
      <c r="D93" s="29" t="s">
        <v>1151</v>
      </c>
      <c r="E93" s="31">
        <v>315</v>
      </c>
      <c r="F93" s="31" t="s">
        <v>1642</v>
      </c>
      <c r="G93" s="29"/>
      <c r="H93" s="33" t="s">
        <v>2061</v>
      </c>
      <c r="I93" s="29"/>
      <c r="J93" s="38"/>
      <c r="K93" s="36"/>
      <c r="L93" s="48" t="s">
        <v>1707</v>
      </c>
      <c r="M93" s="48" t="s">
        <v>1708</v>
      </c>
      <c r="N93" s="69" t="s">
        <v>2067</v>
      </c>
      <c r="O93" s="64" t="s">
        <v>1680</v>
      </c>
      <c r="P93" s="48" t="s">
        <v>1681</v>
      </c>
      <c r="Q93" s="48" t="s">
        <v>2073</v>
      </c>
      <c r="R93" s="38" t="s">
        <v>2075</v>
      </c>
      <c r="S93" s="44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1:30" ht="22.5" customHeight="1">
      <c r="A94" s="26">
        <v>3</v>
      </c>
      <c r="B94" s="26" t="s">
        <v>538</v>
      </c>
      <c r="C94" s="26">
        <v>31</v>
      </c>
      <c r="D94" s="29" t="s">
        <v>1151</v>
      </c>
      <c r="E94" s="31">
        <v>315</v>
      </c>
      <c r="F94" s="31" t="s">
        <v>1642</v>
      </c>
      <c r="G94" s="29"/>
      <c r="H94" s="33" t="s">
        <v>2077</v>
      </c>
      <c r="I94" s="29" t="s">
        <v>2079</v>
      </c>
      <c r="J94" s="38"/>
      <c r="K94" s="36"/>
      <c r="L94" s="48" t="s">
        <v>2081</v>
      </c>
      <c r="M94" s="48" t="s">
        <v>2083</v>
      </c>
      <c r="N94" s="48" t="s">
        <v>2085</v>
      </c>
      <c r="O94" s="48" t="s">
        <v>1649</v>
      </c>
      <c r="P94" s="48" t="s">
        <v>1650</v>
      </c>
      <c r="Q94" s="48" t="s">
        <v>2087</v>
      </c>
      <c r="R94" s="38"/>
      <c r="S94" s="44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1:30" ht="22.5" customHeight="1">
      <c r="A95" s="26">
        <v>3</v>
      </c>
      <c r="B95" s="26" t="s">
        <v>538</v>
      </c>
      <c r="C95" s="26">
        <v>31</v>
      </c>
      <c r="D95" s="29" t="s">
        <v>1151</v>
      </c>
      <c r="E95" s="31">
        <v>315</v>
      </c>
      <c r="F95" s="31" t="s">
        <v>1642</v>
      </c>
      <c r="G95" s="29"/>
      <c r="H95" s="33" t="s">
        <v>2090</v>
      </c>
      <c r="I95" s="29"/>
      <c r="J95" s="38"/>
      <c r="K95" s="36"/>
      <c r="L95" s="48" t="s">
        <v>1957</v>
      </c>
      <c r="M95" s="48" t="s">
        <v>1958</v>
      </c>
      <c r="N95" s="48" t="s">
        <v>1974</v>
      </c>
      <c r="O95" s="64" t="s">
        <v>1680</v>
      </c>
      <c r="P95" s="48" t="s">
        <v>1681</v>
      </c>
      <c r="Q95" s="48" t="s">
        <v>1975</v>
      </c>
      <c r="R95" s="38" t="s">
        <v>2097</v>
      </c>
      <c r="S95" s="44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1:30" ht="22.5" customHeight="1">
      <c r="A96" s="26">
        <v>3</v>
      </c>
      <c r="B96" s="26" t="s">
        <v>538</v>
      </c>
      <c r="C96" s="26">
        <v>31</v>
      </c>
      <c r="D96" s="29" t="s">
        <v>1151</v>
      </c>
      <c r="E96" s="31">
        <v>315</v>
      </c>
      <c r="F96" s="31" t="s">
        <v>1642</v>
      </c>
      <c r="G96" s="29"/>
      <c r="H96" s="33" t="s">
        <v>2105</v>
      </c>
      <c r="I96" s="29"/>
      <c r="J96" s="38"/>
      <c r="K96" s="36"/>
      <c r="L96" s="48" t="s">
        <v>1645</v>
      </c>
      <c r="M96" s="48" t="s">
        <v>1646</v>
      </c>
      <c r="N96" s="48" t="s">
        <v>2106</v>
      </c>
      <c r="O96" s="48" t="s">
        <v>1649</v>
      </c>
      <c r="P96" s="48" t="s">
        <v>1650</v>
      </c>
      <c r="Q96" s="48" t="s">
        <v>2108</v>
      </c>
      <c r="R96" s="38"/>
      <c r="S96" s="44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1:30" ht="22.5" customHeight="1">
      <c r="A97" s="26">
        <v>3</v>
      </c>
      <c r="B97" s="26" t="s">
        <v>538</v>
      </c>
      <c r="C97" s="26">
        <v>31</v>
      </c>
      <c r="D97" s="29" t="s">
        <v>1151</v>
      </c>
      <c r="E97" s="31">
        <v>315</v>
      </c>
      <c r="F97" s="31" t="s">
        <v>1642</v>
      </c>
      <c r="G97" s="29"/>
      <c r="H97" s="33" t="s">
        <v>2115</v>
      </c>
      <c r="I97" s="29" t="s">
        <v>2115</v>
      </c>
      <c r="J97" s="38"/>
      <c r="K97" s="36"/>
      <c r="L97" s="48" t="s">
        <v>1905</v>
      </c>
      <c r="M97" s="48" t="s">
        <v>1906</v>
      </c>
      <c r="N97" s="69" t="s">
        <v>1909</v>
      </c>
      <c r="O97" s="64" t="s">
        <v>1680</v>
      </c>
      <c r="P97" s="48" t="s">
        <v>1681</v>
      </c>
      <c r="Q97" s="48" t="s">
        <v>1848</v>
      </c>
      <c r="R97" s="38" t="s">
        <v>2118</v>
      </c>
      <c r="S97" s="44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1:30" ht="22.5" customHeight="1">
      <c r="A98" s="26">
        <v>3</v>
      </c>
      <c r="B98" s="26" t="s">
        <v>538</v>
      </c>
      <c r="C98" s="26">
        <v>31</v>
      </c>
      <c r="D98" s="29" t="s">
        <v>1151</v>
      </c>
      <c r="E98" s="31">
        <v>315</v>
      </c>
      <c r="F98" s="31" t="s">
        <v>1642</v>
      </c>
      <c r="G98" s="29"/>
      <c r="H98" s="33" t="s">
        <v>2123</v>
      </c>
      <c r="I98" s="29" t="s">
        <v>2125</v>
      </c>
      <c r="J98" s="38"/>
      <c r="K98" s="36"/>
      <c r="L98" s="48" t="s">
        <v>1905</v>
      </c>
      <c r="M98" s="48" t="s">
        <v>2130</v>
      </c>
      <c r="N98" s="69" t="s">
        <v>1909</v>
      </c>
      <c r="O98" s="64" t="s">
        <v>1680</v>
      </c>
      <c r="P98" s="48" t="s">
        <v>1681</v>
      </c>
      <c r="Q98" s="48" t="s">
        <v>1848</v>
      </c>
      <c r="R98" s="38" t="s">
        <v>2118</v>
      </c>
      <c r="S98" s="44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1:30" ht="22.5" customHeight="1">
      <c r="A99" s="26">
        <v>3</v>
      </c>
      <c r="B99" s="26" t="s">
        <v>538</v>
      </c>
      <c r="C99" s="26">
        <v>31</v>
      </c>
      <c r="D99" s="29" t="s">
        <v>1151</v>
      </c>
      <c r="E99" s="31">
        <v>315</v>
      </c>
      <c r="F99" s="31" t="s">
        <v>1642</v>
      </c>
      <c r="G99" s="29"/>
      <c r="H99" s="33" t="s">
        <v>2135</v>
      </c>
      <c r="I99" s="29"/>
      <c r="J99" s="38"/>
      <c r="K99" s="36"/>
      <c r="L99" s="48" t="s">
        <v>1957</v>
      </c>
      <c r="M99" s="48" t="s">
        <v>1958</v>
      </c>
      <c r="N99" s="48" t="s">
        <v>1974</v>
      </c>
      <c r="O99" s="64" t="s">
        <v>1680</v>
      </c>
      <c r="P99" s="48" t="s">
        <v>1681</v>
      </c>
      <c r="Q99" s="48" t="s">
        <v>1975</v>
      </c>
      <c r="R99" s="38" t="s">
        <v>2140</v>
      </c>
      <c r="S99" s="44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1:30" ht="22.5" customHeight="1">
      <c r="A100" s="26">
        <v>3</v>
      </c>
      <c r="B100" s="26" t="s">
        <v>538</v>
      </c>
      <c r="C100" s="26">
        <v>31</v>
      </c>
      <c r="D100" s="29" t="s">
        <v>1151</v>
      </c>
      <c r="E100" s="31">
        <v>315</v>
      </c>
      <c r="F100" s="31" t="s">
        <v>1642</v>
      </c>
      <c r="G100" s="29"/>
      <c r="H100" s="33" t="s">
        <v>2145</v>
      </c>
      <c r="I100" s="29"/>
      <c r="J100" s="38"/>
      <c r="K100" s="36"/>
      <c r="L100" s="48" t="s">
        <v>1957</v>
      </c>
      <c r="M100" s="48" t="s">
        <v>1958</v>
      </c>
      <c r="N100" s="48" t="s">
        <v>1974</v>
      </c>
      <c r="O100" s="64" t="s">
        <v>1680</v>
      </c>
      <c r="P100" s="48" t="s">
        <v>1681</v>
      </c>
      <c r="Q100" s="48" t="s">
        <v>1975</v>
      </c>
      <c r="R100" s="38" t="s">
        <v>2150</v>
      </c>
      <c r="S100" s="44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1:30" ht="22.5" customHeight="1">
      <c r="A101" s="26">
        <v>3</v>
      </c>
      <c r="B101" s="26" t="s">
        <v>538</v>
      </c>
      <c r="C101" s="26">
        <v>31</v>
      </c>
      <c r="D101" s="29" t="s">
        <v>1151</v>
      </c>
      <c r="E101" s="31">
        <v>315</v>
      </c>
      <c r="F101" s="31" t="s">
        <v>1642</v>
      </c>
      <c r="G101" s="29"/>
      <c r="H101" s="33" t="s">
        <v>2154</v>
      </c>
      <c r="I101" s="29"/>
      <c r="J101" s="38"/>
      <c r="K101" s="36"/>
      <c r="L101" s="48" t="s">
        <v>1957</v>
      </c>
      <c r="M101" s="48" t="s">
        <v>1958</v>
      </c>
      <c r="N101" s="48" t="s">
        <v>1974</v>
      </c>
      <c r="O101" s="64" t="s">
        <v>1680</v>
      </c>
      <c r="P101" s="48" t="s">
        <v>1681</v>
      </c>
      <c r="Q101" s="48" t="s">
        <v>1975</v>
      </c>
      <c r="R101" s="38" t="s">
        <v>2156</v>
      </c>
      <c r="S101" s="44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1:30" ht="22.5" customHeight="1">
      <c r="A102" s="26">
        <v>3</v>
      </c>
      <c r="B102" s="26" t="s">
        <v>538</v>
      </c>
      <c r="C102" s="26">
        <v>31</v>
      </c>
      <c r="D102" s="29" t="s">
        <v>1151</v>
      </c>
      <c r="E102" s="31">
        <v>315</v>
      </c>
      <c r="F102" s="31" t="s">
        <v>1642</v>
      </c>
      <c r="G102" s="29"/>
      <c r="H102" s="33" t="s">
        <v>2164</v>
      </c>
      <c r="I102" s="29" t="s">
        <v>2166</v>
      </c>
      <c r="J102" s="38"/>
      <c r="K102" s="36"/>
      <c r="L102" s="48" t="s">
        <v>2168</v>
      </c>
      <c r="M102" s="48" t="s">
        <v>1169</v>
      </c>
      <c r="N102" s="48"/>
      <c r="O102" s="48" t="s">
        <v>1649</v>
      </c>
      <c r="P102" s="48" t="s">
        <v>1650</v>
      </c>
      <c r="Q102" s="48" t="s">
        <v>2172</v>
      </c>
      <c r="R102" s="38"/>
      <c r="S102" s="44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1:30" ht="22.5" customHeight="1">
      <c r="A103" s="26">
        <v>3</v>
      </c>
      <c r="B103" s="26" t="s">
        <v>538</v>
      </c>
      <c r="C103" s="26">
        <v>31</v>
      </c>
      <c r="D103" s="29" t="s">
        <v>1151</v>
      </c>
      <c r="E103" s="31">
        <v>315</v>
      </c>
      <c r="F103" s="31" t="s">
        <v>1642</v>
      </c>
      <c r="G103" s="29"/>
      <c r="H103" s="33" t="s">
        <v>2179</v>
      </c>
      <c r="I103" s="29" t="s">
        <v>2181</v>
      </c>
      <c r="J103" s="38"/>
      <c r="K103" s="36"/>
      <c r="L103" s="48" t="s">
        <v>2168</v>
      </c>
      <c r="M103" s="48" t="s">
        <v>1169</v>
      </c>
      <c r="N103" s="48"/>
      <c r="O103" s="48" t="s">
        <v>1649</v>
      </c>
      <c r="P103" s="48" t="s">
        <v>1650</v>
      </c>
      <c r="Q103" s="48" t="s">
        <v>2172</v>
      </c>
      <c r="R103" s="38"/>
      <c r="S103" s="44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1:30" ht="22.5" customHeight="1">
      <c r="A104" s="26">
        <v>3</v>
      </c>
      <c r="B104" s="26" t="s">
        <v>538</v>
      </c>
      <c r="C104" s="26">
        <v>31</v>
      </c>
      <c r="D104" s="29" t="s">
        <v>1151</v>
      </c>
      <c r="E104" s="31">
        <v>315</v>
      </c>
      <c r="F104" s="31" t="s">
        <v>1642</v>
      </c>
      <c r="G104" s="29"/>
      <c r="H104" s="33" t="s">
        <v>2196</v>
      </c>
      <c r="I104" s="28" t="s">
        <v>2198</v>
      </c>
      <c r="J104" s="38"/>
      <c r="K104" s="36"/>
      <c r="L104" s="48" t="s">
        <v>1707</v>
      </c>
      <c r="M104" s="48" t="s">
        <v>1708</v>
      </c>
      <c r="N104" s="48" t="s">
        <v>2196</v>
      </c>
      <c r="O104" s="64" t="s">
        <v>1680</v>
      </c>
      <c r="P104" s="48" t="s">
        <v>1681</v>
      </c>
      <c r="Q104" s="48" t="s">
        <v>2200</v>
      </c>
      <c r="R104" s="38"/>
      <c r="S104" s="44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1:30" ht="22.5" customHeight="1">
      <c r="A105" s="26">
        <v>3</v>
      </c>
      <c r="B105" s="26" t="s">
        <v>538</v>
      </c>
      <c r="C105" s="26">
        <v>31</v>
      </c>
      <c r="D105" s="29" t="s">
        <v>1151</v>
      </c>
      <c r="E105" s="31">
        <v>315</v>
      </c>
      <c r="F105" s="31" t="s">
        <v>1642</v>
      </c>
      <c r="G105" s="56" t="s">
        <v>1772</v>
      </c>
      <c r="H105" s="59" t="s">
        <v>2201</v>
      </c>
      <c r="I105" s="40"/>
      <c r="J105" s="61" t="s">
        <v>2202</v>
      </c>
      <c r="K105" s="48"/>
      <c r="L105" s="48" t="s">
        <v>2203</v>
      </c>
      <c r="M105" s="48" t="s">
        <v>2204</v>
      </c>
      <c r="N105" s="48" t="s">
        <v>2206</v>
      </c>
      <c r="O105" s="48" t="s">
        <v>1779</v>
      </c>
      <c r="P105" s="48" t="s">
        <v>1780</v>
      </c>
      <c r="Q105" s="48" t="s">
        <v>2209</v>
      </c>
      <c r="R105" s="42"/>
      <c r="S105" s="48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1:30" ht="22.5" customHeight="1">
      <c r="A106" s="26">
        <v>3</v>
      </c>
      <c r="B106" s="26" t="s">
        <v>538</v>
      </c>
      <c r="C106" s="26">
        <v>31</v>
      </c>
      <c r="D106" s="29" t="s">
        <v>1151</v>
      </c>
      <c r="E106" s="31">
        <v>315</v>
      </c>
      <c r="F106" s="31" t="s">
        <v>1642</v>
      </c>
      <c r="G106" s="29"/>
      <c r="H106" s="66" t="s">
        <v>2214</v>
      </c>
      <c r="I106" s="29" t="s">
        <v>2215</v>
      </c>
      <c r="J106" s="34" t="s">
        <v>2216</v>
      </c>
      <c r="K106" s="36"/>
      <c r="L106" s="48" t="s">
        <v>1957</v>
      </c>
      <c r="M106" s="48" t="s">
        <v>1958</v>
      </c>
      <c r="N106" s="69" t="s">
        <v>1959</v>
      </c>
      <c r="O106" s="64" t="s">
        <v>1680</v>
      </c>
      <c r="P106" s="48" t="s">
        <v>1681</v>
      </c>
      <c r="Q106" s="48" t="s">
        <v>1963</v>
      </c>
      <c r="R106" s="38" t="s">
        <v>2218</v>
      </c>
      <c r="S106" s="44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1:30" ht="22.5" customHeight="1">
      <c r="A107" s="26">
        <v>3</v>
      </c>
      <c r="B107" s="26" t="s">
        <v>538</v>
      </c>
      <c r="C107" s="26">
        <v>31</v>
      </c>
      <c r="D107" s="29" t="s">
        <v>1151</v>
      </c>
      <c r="E107" s="31">
        <v>315</v>
      </c>
      <c r="F107" s="31" t="s">
        <v>1642</v>
      </c>
      <c r="G107" s="29"/>
      <c r="H107" s="66" t="s">
        <v>2226</v>
      </c>
      <c r="I107" s="29" t="s">
        <v>2228</v>
      </c>
      <c r="J107" s="34" t="s">
        <v>2230</v>
      </c>
      <c r="K107" s="36"/>
      <c r="L107" s="48" t="s">
        <v>1957</v>
      </c>
      <c r="M107" s="48" t="s">
        <v>1958</v>
      </c>
      <c r="N107" s="69" t="s">
        <v>1959</v>
      </c>
      <c r="O107" s="64" t="s">
        <v>1680</v>
      </c>
      <c r="P107" s="48" t="s">
        <v>1681</v>
      </c>
      <c r="Q107" s="48" t="s">
        <v>1963</v>
      </c>
      <c r="R107" s="38" t="s">
        <v>2235</v>
      </c>
      <c r="S107" s="44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1:30" ht="22.5" customHeight="1">
      <c r="A108" s="26">
        <v>3</v>
      </c>
      <c r="B108" s="26" t="s">
        <v>538</v>
      </c>
      <c r="C108" s="26">
        <v>31</v>
      </c>
      <c r="D108" s="29" t="s">
        <v>1151</v>
      </c>
      <c r="E108" s="31">
        <v>315</v>
      </c>
      <c r="F108" s="31" t="s">
        <v>1642</v>
      </c>
      <c r="G108" s="29"/>
      <c r="H108" s="66" t="s">
        <v>2237</v>
      </c>
      <c r="I108" s="29" t="s">
        <v>2238</v>
      </c>
      <c r="J108" s="31" t="s">
        <v>2240</v>
      </c>
      <c r="K108" s="36"/>
      <c r="L108" s="48" t="s">
        <v>1957</v>
      </c>
      <c r="M108" s="48" t="s">
        <v>1958</v>
      </c>
      <c r="N108" s="69" t="s">
        <v>1959</v>
      </c>
      <c r="O108" s="64" t="s">
        <v>1680</v>
      </c>
      <c r="P108" s="48" t="s">
        <v>1681</v>
      </c>
      <c r="Q108" s="48" t="s">
        <v>1963</v>
      </c>
      <c r="R108" s="38" t="s">
        <v>2243</v>
      </c>
      <c r="S108" s="44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1:30" ht="22.5" customHeight="1">
      <c r="A109" s="26">
        <v>3</v>
      </c>
      <c r="B109" s="26" t="s">
        <v>538</v>
      </c>
      <c r="C109" s="26">
        <v>31</v>
      </c>
      <c r="D109" s="29" t="s">
        <v>1151</v>
      </c>
      <c r="E109" s="31">
        <v>315</v>
      </c>
      <c r="F109" s="31" t="s">
        <v>1642</v>
      </c>
      <c r="G109" s="29"/>
      <c r="H109" s="66" t="s">
        <v>2244</v>
      </c>
      <c r="I109" s="29" t="s">
        <v>2245</v>
      </c>
      <c r="J109" s="31" t="s">
        <v>2240</v>
      </c>
      <c r="K109" s="36"/>
      <c r="L109" s="48" t="s">
        <v>1957</v>
      </c>
      <c r="M109" s="48" t="s">
        <v>1958</v>
      </c>
      <c r="N109" s="69" t="s">
        <v>1959</v>
      </c>
      <c r="O109" s="64" t="s">
        <v>1680</v>
      </c>
      <c r="P109" s="48" t="s">
        <v>1681</v>
      </c>
      <c r="Q109" s="48" t="s">
        <v>1963</v>
      </c>
      <c r="R109" s="38" t="s">
        <v>2246</v>
      </c>
      <c r="S109" s="44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1:30" ht="22.5" customHeight="1">
      <c r="A110" s="26">
        <v>3</v>
      </c>
      <c r="B110" s="26" t="s">
        <v>538</v>
      </c>
      <c r="C110" s="26">
        <v>31</v>
      </c>
      <c r="D110" s="29" t="s">
        <v>1151</v>
      </c>
      <c r="E110" s="31">
        <v>315</v>
      </c>
      <c r="F110" s="31" t="s">
        <v>1642</v>
      </c>
      <c r="G110" s="29"/>
      <c r="H110" s="66" t="s">
        <v>2247</v>
      </c>
      <c r="I110" s="28" t="s">
        <v>2248</v>
      </c>
      <c r="J110" s="31" t="s">
        <v>2240</v>
      </c>
      <c r="K110" s="36"/>
      <c r="L110" s="48" t="s">
        <v>1957</v>
      </c>
      <c r="M110" s="48" t="s">
        <v>1958</v>
      </c>
      <c r="N110" s="69" t="s">
        <v>1959</v>
      </c>
      <c r="O110" s="64" t="s">
        <v>1680</v>
      </c>
      <c r="P110" s="48" t="s">
        <v>1681</v>
      </c>
      <c r="Q110" s="48" t="s">
        <v>1963</v>
      </c>
      <c r="R110" s="38" t="s">
        <v>2261</v>
      </c>
      <c r="S110" s="44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1:30" ht="22.5" customHeight="1">
      <c r="A111" s="26">
        <v>3</v>
      </c>
      <c r="B111" s="26" t="s">
        <v>538</v>
      </c>
      <c r="C111" s="26">
        <v>31</v>
      </c>
      <c r="D111" s="29" t="s">
        <v>1151</v>
      </c>
      <c r="E111" s="31">
        <v>315</v>
      </c>
      <c r="F111" s="31" t="s">
        <v>1642</v>
      </c>
      <c r="G111" s="29"/>
      <c r="H111" s="33" t="s">
        <v>2262</v>
      </c>
      <c r="I111" s="29" t="s">
        <v>2262</v>
      </c>
      <c r="J111" s="31" t="s">
        <v>2240</v>
      </c>
      <c r="K111" s="36"/>
      <c r="L111" s="48" t="s">
        <v>1957</v>
      </c>
      <c r="M111" s="48" t="s">
        <v>1958</v>
      </c>
      <c r="N111" s="69" t="s">
        <v>1959</v>
      </c>
      <c r="O111" s="64" t="s">
        <v>1680</v>
      </c>
      <c r="P111" s="48" t="s">
        <v>1681</v>
      </c>
      <c r="Q111" s="48" t="s">
        <v>1963</v>
      </c>
      <c r="R111" s="38" t="s">
        <v>2263</v>
      </c>
      <c r="S111" s="44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1:30" ht="22.5" customHeight="1">
      <c r="A112" s="26">
        <v>3</v>
      </c>
      <c r="B112" s="26" t="s">
        <v>538</v>
      </c>
      <c r="C112" s="26">
        <v>31</v>
      </c>
      <c r="D112" s="29" t="s">
        <v>1151</v>
      </c>
      <c r="E112" s="31">
        <v>315</v>
      </c>
      <c r="F112" s="31" t="s">
        <v>1642</v>
      </c>
      <c r="G112" s="29"/>
      <c r="H112" s="33" t="s">
        <v>1958</v>
      </c>
      <c r="I112" s="29" t="s">
        <v>2271</v>
      </c>
      <c r="J112" s="31" t="s">
        <v>2240</v>
      </c>
      <c r="K112" s="36"/>
      <c r="L112" s="48" t="s">
        <v>1957</v>
      </c>
      <c r="M112" s="48" t="s">
        <v>1958</v>
      </c>
      <c r="N112" s="69" t="s">
        <v>1959</v>
      </c>
      <c r="O112" s="64" t="s">
        <v>1680</v>
      </c>
      <c r="P112" s="48" t="s">
        <v>1681</v>
      </c>
      <c r="Q112" s="48" t="s">
        <v>1963</v>
      </c>
      <c r="R112" s="38" t="s">
        <v>1966</v>
      </c>
      <c r="S112" s="44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1:30" ht="22.5" customHeight="1">
      <c r="A113" s="26">
        <v>3</v>
      </c>
      <c r="B113" s="26" t="s">
        <v>538</v>
      </c>
      <c r="C113" s="26">
        <v>31</v>
      </c>
      <c r="D113" s="29" t="s">
        <v>1151</v>
      </c>
      <c r="E113" s="31">
        <v>315</v>
      </c>
      <c r="F113" s="31" t="s">
        <v>1642</v>
      </c>
      <c r="G113" s="29"/>
      <c r="H113" s="66" t="s">
        <v>2276</v>
      </c>
      <c r="I113" s="29" t="s">
        <v>2277</v>
      </c>
      <c r="J113" s="34" t="s">
        <v>2278</v>
      </c>
      <c r="K113" s="36"/>
      <c r="L113" s="48" t="s">
        <v>1957</v>
      </c>
      <c r="M113" s="48" t="s">
        <v>1958</v>
      </c>
      <c r="N113" s="69" t="s">
        <v>1959</v>
      </c>
      <c r="O113" s="64" t="s">
        <v>1680</v>
      </c>
      <c r="P113" s="48" t="s">
        <v>1681</v>
      </c>
      <c r="Q113" s="48" t="s">
        <v>1963</v>
      </c>
      <c r="R113" s="38" t="s">
        <v>1966</v>
      </c>
      <c r="S113" s="44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1:30" ht="22.5" customHeight="1">
      <c r="A114" s="26">
        <v>3</v>
      </c>
      <c r="B114" s="26" t="s">
        <v>538</v>
      </c>
      <c r="C114" s="26">
        <v>31</v>
      </c>
      <c r="D114" s="29" t="s">
        <v>1151</v>
      </c>
      <c r="E114" s="31">
        <v>315</v>
      </c>
      <c r="F114" s="31" t="s">
        <v>1642</v>
      </c>
      <c r="G114" s="56" t="s">
        <v>1772</v>
      </c>
      <c r="H114" s="50" t="s">
        <v>2281</v>
      </c>
      <c r="I114" s="40" t="s">
        <v>2282</v>
      </c>
      <c r="J114" s="42" t="s">
        <v>2283</v>
      </c>
      <c r="K114" s="48"/>
      <c r="L114" s="48" t="s">
        <v>1777</v>
      </c>
      <c r="M114" s="48" t="s">
        <v>2284</v>
      </c>
      <c r="N114" s="48" t="s">
        <v>2285</v>
      </c>
      <c r="O114" s="48" t="s">
        <v>1779</v>
      </c>
      <c r="P114" s="48" t="s">
        <v>1780</v>
      </c>
      <c r="Q114" s="48" t="s">
        <v>2287</v>
      </c>
      <c r="R114" s="42"/>
      <c r="S114" s="48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1:30" ht="22.5" customHeight="1">
      <c r="A115" s="26">
        <v>3</v>
      </c>
      <c r="B115" s="26" t="s">
        <v>538</v>
      </c>
      <c r="C115" s="26">
        <v>31</v>
      </c>
      <c r="D115" s="29" t="s">
        <v>1151</v>
      </c>
      <c r="E115" s="31">
        <v>315</v>
      </c>
      <c r="F115" s="31" t="s">
        <v>1642</v>
      </c>
      <c r="G115" s="29"/>
      <c r="H115" s="33" t="s">
        <v>2293</v>
      </c>
      <c r="I115" s="29"/>
      <c r="J115" s="38"/>
      <c r="K115" s="36"/>
      <c r="L115" s="48" t="s">
        <v>1754</v>
      </c>
      <c r="M115" s="48" t="s">
        <v>1756</v>
      </c>
      <c r="N115" s="48" t="s">
        <v>2299</v>
      </c>
      <c r="O115" s="64" t="s">
        <v>1680</v>
      </c>
      <c r="P115" s="48" t="s">
        <v>1681</v>
      </c>
      <c r="Q115" s="48" t="s">
        <v>2300</v>
      </c>
      <c r="R115" s="38"/>
      <c r="S115" s="44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1:30" ht="22.5" customHeight="1">
      <c r="A116" s="26">
        <v>3</v>
      </c>
      <c r="B116" s="26" t="s">
        <v>538</v>
      </c>
      <c r="C116" s="26">
        <v>31</v>
      </c>
      <c r="D116" s="29" t="s">
        <v>1151</v>
      </c>
      <c r="E116" s="31">
        <v>315</v>
      </c>
      <c r="F116" s="31" t="s">
        <v>1642</v>
      </c>
      <c r="G116" s="29"/>
      <c r="H116" s="33" t="s">
        <v>2304</v>
      </c>
      <c r="I116" s="29"/>
      <c r="J116" s="38"/>
      <c r="K116" s="36"/>
      <c r="L116" s="48" t="s">
        <v>1678</v>
      </c>
      <c r="M116" s="48" t="s">
        <v>1679</v>
      </c>
      <c r="N116" s="48"/>
      <c r="O116" s="64" t="s">
        <v>1680</v>
      </c>
      <c r="P116" s="48" t="s">
        <v>1681</v>
      </c>
      <c r="Q116" s="48" t="s">
        <v>1682</v>
      </c>
      <c r="R116" s="38" t="s">
        <v>1701</v>
      </c>
      <c r="S116" s="44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1:30" ht="22.5" customHeight="1">
      <c r="A117" s="26">
        <v>3</v>
      </c>
      <c r="B117" s="26" t="s">
        <v>538</v>
      </c>
      <c r="C117" s="26">
        <v>31</v>
      </c>
      <c r="D117" s="29" t="s">
        <v>1151</v>
      </c>
      <c r="E117" s="31">
        <v>315</v>
      </c>
      <c r="F117" s="31" t="s">
        <v>1642</v>
      </c>
      <c r="G117" s="29"/>
      <c r="H117" s="33" t="s">
        <v>2305</v>
      </c>
      <c r="I117" s="29" t="s">
        <v>2306</v>
      </c>
      <c r="J117" s="38"/>
      <c r="K117" s="36"/>
      <c r="L117" s="48" t="s">
        <v>1957</v>
      </c>
      <c r="M117" s="48" t="s">
        <v>1958</v>
      </c>
      <c r="N117" s="48" t="s">
        <v>1974</v>
      </c>
      <c r="O117" s="64" t="s">
        <v>1680</v>
      </c>
      <c r="P117" s="48" t="s">
        <v>1681</v>
      </c>
      <c r="Q117" s="48" t="s">
        <v>1975</v>
      </c>
      <c r="R117" s="38" t="s">
        <v>2308</v>
      </c>
      <c r="S117" s="44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1:30" ht="22.5" customHeight="1">
      <c r="A118" s="26">
        <v>3</v>
      </c>
      <c r="B118" s="26" t="s">
        <v>538</v>
      </c>
      <c r="C118" s="26">
        <v>31</v>
      </c>
      <c r="D118" s="29" t="s">
        <v>1151</v>
      </c>
      <c r="E118" s="31">
        <v>315</v>
      </c>
      <c r="F118" s="31" t="s">
        <v>1642</v>
      </c>
      <c r="G118" s="29"/>
      <c r="H118" s="33" t="s">
        <v>2310</v>
      </c>
      <c r="I118" s="29"/>
      <c r="J118" s="38"/>
      <c r="K118" s="36"/>
      <c r="L118" s="48" t="s">
        <v>1707</v>
      </c>
      <c r="M118" s="48" t="s">
        <v>1708</v>
      </c>
      <c r="N118" s="69" t="s">
        <v>2067</v>
      </c>
      <c r="O118" s="64" t="s">
        <v>1680</v>
      </c>
      <c r="P118" s="48" t="s">
        <v>1681</v>
      </c>
      <c r="Q118" s="48" t="s">
        <v>2073</v>
      </c>
      <c r="R118" s="38" t="s">
        <v>2311</v>
      </c>
      <c r="S118" s="44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1:30" ht="22.5" customHeight="1">
      <c r="A119" s="26">
        <v>3</v>
      </c>
      <c r="B119" s="26" t="s">
        <v>538</v>
      </c>
      <c r="C119" s="26">
        <v>31</v>
      </c>
      <c r="D119" s="29" t="s">
        <v>1151</v>
      </c>
      <c r="E119" s="31">
        <v>315</v>
      </c>
      <c r="F119" s="31" t="s">
        <v>1642</v>
      </c>
      <c r="G119" s="29"/>
      <c r="H119" s="33" t="s">
        <v>2315</v>
      </c>
      <c r="I119" s="29" t="s">
        <v>1981</v>
      </c>
      <c r="J119" s="38"/>
      <c r="K119" s="36"/>
      <c r="L119" s="48" t="s">
        <v>1645</v>
      </c>
      <c r="M119" s="48" t="s">
        <v>1646</v>
      </c>
      <c r="N119" s="69" t="s">
        <v>1985</v>
      </c>
      <c r="O119" s="48" t="s">
        <v>1649</v>
      </c>
      <c r="P119" s="48" t="s">
        <v>1650</v>
      </c>
      <c r="Q119" s="48" t="s">
        <v>1986</v>
      </c>
      <c r="R119" s="38"/>
      <c r="S119" s="44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1:30" ht="22.5" customHeight="1">
      <c r="A120" s="26">
        <v>3</v>
      </c>
      <c r="B120" s="26" t="s">
        <v>538</v>
      </c>
      <c r="C120" s="26">
        <v>31</v>
      </c>
      <c r="D120" s="29" t="s">
        <v>1151</v>
      </c>
      <c r="E120" s="31">
        <v>315</v>
      </c>
      <c r="F120" s="31" t="s">
        <v>1642</v>
      </c>
      <c r="G120" s="29"/>
      <c r="H120" s="33" t="s">
        <v>2316</v>
      </c>
      <c r="I120" s="29" t="s">
        <v>1981</v>
      </c>
      <c r="J120" s="38"/>
      <c r="K120" s="36"/>
      <c r="L120" s="48" t="s">
        <v>1645</v>
      </c>
      <c r="M120" s="48" t="s">
        <v>1646</v>
      </c>
      <c r="N120" s="69" t="s">
        <v>1985</v>
      </c>
      <c r="O120" s="48" t="s">
        <v>1649</v>
      </c>
      <c r="P120" s="48" t="s">
        <v>1650</v>
      </c>
      <c r="Q120" s="48" t="s">
        <v>1986</v>
      </c>
      <c r="R120" s="38"/>
      <c r="S120" s="44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1:30" ht="22.5" customHeight="1">
      <c r="A121" s="26">
        <v>3</v>
      </c>
      <c r="B121" s="26" t="s">
        <v>538</v>
      </c>
      <c r="C121" s="26">
        <v>31</v>
      </c>
      <c r="D121" s="29" t="s">
        <v>1151</v>
      </c>
      <c r="E121" s="31">
        <v>315</v>
      </c>
      <c r="F121" s="31" t="s">
        <v>1642</v>
      </c>
      <c r="G121" s="29"/>
      <c r="H121" s="33" t="s">
        <v>2320</v>
      </c>
      <c r="I121" s="29" t="s">
        <v>1981</v>
      </c>
      <c r="J121" s="38"/>
      <c r="K121" s="36"/>
      <c r="L121" s="48" t="s">
        <v>1645</v>
      </c>
      <c r="M121" s="48" t="s">
        <v>1646</v>
      </c>
      <c r="N121" s="69" t="s">
        <v>1985</v>
      </c>
      <c r="O121" s="48" t="s">
        <v>1649</v>
      </c>
      <c r="P121" s="48" t="s">
        <v>1650</v>
      </c>
      <c r="Q121" s="48" t="s">
        <v>1986</v>
      </c>
      <c r="R121" s="38"/>
      <c r="S121" s="44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1:30" ht="22.5" customHeight="1">
      <c r="A122" s="26">
        <v>3</v>
      </c>
      <c r="B122" s="26" t="s">
        <v>538</v>
      </c>
      <c r="C122" s="26">
        <v>31</v>
      </c>
      <c r="D122" s="29" t="s">
        <v>1151</v>
      </c>
      <c r="E122" s="31">
        <v>315</v>
      </c>
      <c r="F122" s="31" t="s">
        <v>1642</v>
      </c>
      <c r="G122" s="29"/>
      <c r="H122" s="33" t="s">
        <v>2323</v>
      </c>
      <c r="I122" s="29"/>
      <c r="J122" s="38"/>
      <c r="K122" s="36"/>
      <c r="L122" s="48" t="s">
        <v>1645</v>
      </c>
      <c r="M122" s="48" t="s">
        <v>1646</v>
      </c>
      <c r="N122" s="48" t="s">
        <v>2106</v>
      </c>
      <c r="O122" s="48" t="s">
        <v>1649</v>
      </c>
      <c r="P122" s="48" t="s">
        <v>1650</v>
      </c>
      <c r="Q122" s="48" t="s">
        <v>2108</v>
      </c>
      <c r="R122" s="38"/>
      <c r="S122" s="44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1:30" ht="22.5" customHeight="1">
      <c r="A123" s="26">
        <v>3</v>
      </c>
      <c r="B123" s="26" t="s">
        <v>538</v>
      </c>
      <c r="C123" s="26">
        <v>31</v>
      </c>
      <c r="D123" s="29" t="s">
        <v>1151</v>
      </c>
      <c r="E123" s="31">
        <v>315</v>
      </c>
      <c r="F123" s="31" t="s">
        <v>1642</v>
      </c>
      <c r="G123" s="29"/>
      <c r="H123" s="66" t="s">
        <v>2325</v>
      </c>
      <c r="I123" s="29" t="s">
        <v>2326</v>
      </c>
      <c r="J123" s="38"/>
      <c r="K123" s="36"/>
      <c r="L123" s="48" t="s">
        <v>1957</v>
      </c>
      <c r="M123" s="48" t="s">
        <v>1958</v>
      </c>
      <c r="N123" s="48" t="s">
        <v>1974</v>
      </c>
      <c r="O123" s="64" t="s">
        <v>1680</v>
      </c>
      <c r="P123" s="48" t="s">
        <v>1681</v>
      </c>
      <c r="Q123" s="48" t="s">
        <v>1975</v>
      </c>
      <c r="R123" s="38" t="s">
        <v>2328</v>
      </c>
      <c r="S123" s="44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1:30" ht="22.5" customHeight="1">
      <c r="A124" s="26">
        <v>3</v>
      </c>
      <c r="B124" s="26" t="s">
        <v>538</v>
      </c>
      <c r="C124" s="26">
        <v>31</v>
      </c>
      <c r="D124" s="29" t="s">
        <v>1151</v>
      </c>
      <c r="E124" s="31">
        <v>315</v>
      </c>
      <c r="F124" s="31" t="s">
        <v>1642</v>
      </c>
      <c r="G124" s="29"/>
      <c r="H124" s="33" t="s">
        <v>2331</v>
      </c>
      <c r="I124" s="29"/>
      <c r="J124" s="38"/>
      <c r="K124" s="36"/>
      <c r="L124" s="48" t="s">
        <v>1645</v>
      </c>
      <c r="M124" s="48" t="s">
        <v>1646</v>
      </c>
      <c r="N124" s="48" t="s">
        <v>2106</v>
      </c>
      <c r="O124" s="48" t="s">
        <v>1649</v>
      </c>
      <c r="P124" s="48" t="s">
        <v>1650</v>
      </c>
      <c r="Q124" s="48" t="s">
        <v>2332</v>
      </c>
      <c r="R124" s="38"/>
      <c r="S124" s="44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1:30" ht="22.5" customHeight="1">
      <c r="A125" s="26">
        <v>3</v>
      </c>
      <c r="B125" s="26" t="s">
        <v>538</v>
      </c>
      <c r="C125" s="26">
        <v>31</v>
      </c>
      <c r="D125" s="29" t="s">
        <v>1151</v>
      </c>
      <c r="E125" s="31">
        <v>315</v>
      </c>
      <c r="F125" s="31" t="s">
        <v>1642</v>
      </c>
      <c r="G125" s="29"/>
      <c r="H125" s="33" t="s">
        <v>2333</v>
      </c>
      <c r="I125" s="29"/>
      <c r="J125" s="38"/>
      <c r="K125" s="36"/>
      <c r="L125" s="48" t="s">
        <v>1678</v>
      </c>
      <c r="M125" s="48" t="s">
        <v>1679</v>
      </c>
      <c r="N125" s="48"/>
      <c r="O125" s="64" t="s">
        <v>1680</v>
      </c>
      <c r="P125" s="48" t="s">
        <v>1681</v>
      </c>
      <c r="Q125" s="48" t="s">
        <v>1682</v>
      </c>
      <c r="R125" s="38" t="s">
        <v>2334</v>
      </c>
      <c r="S125" s="44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1:30" ht="22.5" customHeight="1">
      <c r="A126" s="134">
        <v>3</v>
      </c>
      <c r="B126" s="134" t="s">
        <v>538</v>
      </c>
      <c r="C126" s="134">
        <v>31</v>
      </c>
      <c r="D126" s="135" t="s">
        <v>1151</v>
      </c>
      <c r="E126" s="126">
        <v>315</v>
      </c>
      <c r="F126" s="126" t="s">
        <v>1642</v>
      </c>
      <c r="G126" s="135"/>
      <c r="H126" s="139" t="s">
        <v>2342</v>
      </c>
      <c r="I126" s="135"/>
      <c r="J126" s="141"/>
      <c r="K126" s="132"/>
      <c r="L126" s="142" t="s">
        <v>1707</v>
      </c>
      <c r="M126" s="142" t="s">
        <v>1708</v>
      </c>
      <c r="N126" s="142" t="s">
        <v>2067</v>
      </c>
      <c r="O126" s="144" t="s">
        <v>1680</v>
      </c>
      <c r="P126" s="142" t="s">
        <v>1681</v>
      </c>
      <c r="Q126" s="142" t="s">
        <v>2073</v>
      </c>
      <c r="R126" s="38" t="s">
        <v>2347</v>
      </c>
      <c r="S126" s="131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5"/>
    </row>
    <row r="127" spans="1:30" ht="22.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38" t="s">
        <v>2353</v>
      </c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5"/>
    </row>
    <row r="128" spans="1:30" ht="22.5" customHeight="1">
      <c r="A128" s="26">
        <v>3</v>
      </c>
      <c r="B128" s="26" t="s">
        <v>538</v>
      </c>
      <c r="C128" s="26">
        <v>31</v>
      </c>
      <c r="D128" s="29" t="s">
        <v>1151</v>
      </c>
      <c r="E128" s="31">
        <v>315</v>
      </c>
      <c r="F128" s="31" t="s">
        <v>1642</v>
      </c>
      <c r="G128" s="29"/>
      <c r="H128" s="33" t="s">
        <v>2357</v>
      </c>
      <c r="I128" s="29"/>
      <c r="J128" s="38"/>
      <c r="K128" s="36"/>
      <c r="L128" s="48" t="s">
        <v>1707</v>
      </c>
      <c r="M128" s="48" t="s">
        <v>1708</v>
      </c>
      <c r="N128" s="69" t="s">
        <v>2067</v>
      </c>
      <c r="O128" s="64" t="s">
        <v>1680</v>
      </c>
      <c r="P128" s="48" t="s">
        <v>1681</v>
      </c>
      <c r="Q128" s="48" t="s">
        <v>2073</v>
      </c>
      <c r="R128" s="38" t="s">
        <v>2359</v>
      </c>
      <c r="S128" s="44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1:30" ht="22.5" customHeight="1">
      <c r="A129" s="26">
        <v>3</v>
      </c>
      <c r="B129" s="26" t="s">
        <v>538</v>
      </c>
      <c r="C129" s="26">
        <v>31</v>
      </c>
      <c r="D129" s="29" t="s">
        <v>1151</v>
      </c>
      <c r="E129" s="31">
        <v>315</v>
      </c>
      <c r="F129" s="31" t="s">
        <v>1642</v>
      </c>
      <c r="G129" s="29"/>
      <c r="H129" s="33" t="s">
        <v>2357</v>
      </c>
      <c r="I129" s="29" t="s">
        <v>2363</v>
      </c>
      <c r="J129" s="38"/>
      <c r="K129" s="36"/>
      <c r="L129" s="48" t="s">
        <v>1707</v>
      </c>
      <c r="M129" s="48" t="s">
        <v>1708</v>
      </c>
      <c r="N129" s="69" t="s">
        <v>2067</v>
      </c>
      <c r="O129" s="64" t="s">
        <v>1680</v>
      </c>
      <c r="P129" s="48" t="s">
        <v>1681</v>
      </c>
      <c r="Q129" s="48" t="s">
        <v>2073</v>
      </c>
      <c r="R129" s="38" t="s">
        <v>2364</v>
      </c>
      <c r="S129" s="44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1:30" ht="22.5" customHeight="1">
      <c r="A130" s="134">
        <v>3</v>
      </c>
      <c r="B130" s="134" t="s">
        <v>538</v>
      </c>
      <c r="C130" s="134">
        <v>31</v>
      </c>
      <c r="D130" s="135" t="s">
        <v>1151</v>
      </c>
      <c r="E130" s="126">
        <v>315</v>
      </c>
      <c r="F130" s="126" t="s">
        <v>1642</v>
      </c>
      <c r="G130" s="135"/>
      <c r="H130" s="139" t="s">
        <v>2372</v>
      </c>
      <c r="I130" s="135" t="s">
        <v>2373</v>
      </c>
      <c r="J130" s="141"/>
      <c r="K130" s="132"/>
      <c r="L130" s="142" t="s">
        <v>1707</v>
      </c>
      <c r="M130" s="142" t="s">
        <v>1708</v>
      </c>
      <c r="N130" s="142" t="s">
        <v>2067</v>
      </c>
      <c r="O130" s="144" t="s">
        <v>1680</v>
      </c>
      <c r="P130" s="142" t="s">
        <v>1681</v>
      </c>
      <c r="Q130" s="142" t="s">
        <v>2073</v>
      </c>
      <c r="R130" s="38" t="s">
        <v>2353</v>
      </c>
      <c r="S130" s="131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5"/>
    </row>
    <row r="131" spans="1:30" ht="22.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38" t="s">
        <v>2383</v>
      </c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5"/>
    </row>
    <row r="132" spans="1:30" ht="22.5" customHeight="1">
      <c r="A132" s="134">
        <v>3</v>
      </c>
      <c r="B132" s="134" t="s">
        <v>538</v>
      </c>
      <c r="C132" s="134">
        <v>31</v>
      </c>
      <c r="D132" s="135" t="s">
        <v>1151</v>
      </c>
      <c r="E132" s="126">
        <v>315</v>
      </c>
      <c r="F132" s="126" t="s">
        <v>1642</v>
      </c>
      <c r="G132" s="135"/>
      <c r="H132" s="139" t="s">
        <v>2390</v>
      </c>
      <c r="I132" s="135" t="s">
        <v>2393</v>
      </c>
      <c r="J132" s="141"/>
      <c r="K132" s="132"/>
      <c r="L132" s="142" t="s">
        <v>1707</v>
      </c>
      <c r="M132" s="142" t="s">
        <v>1708</v>
      </c>
      <c r="N132" s="142" t="s">
        <v>2067</v>
      </c>
      <c r="O132" s="144" t="s">
        <v>1680</v>
      </c>
      <c r="P132" s="142" t="s">
        <v>1681</v>
      </c>
      <c r="Q132" s="142" t="s">
        <v>2073</v>
      </c>
      <c r="R132" s="38" t="s">
        <v>2353</v>
      </c>
      <c r="S132" s="131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5"/>
    </row>
    <row r="133" spans="1:30" ht="22.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38" t="s">
        <v>2403</v>
      </c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5"/>
    </row>
    <row r="134" spans="1:30" ht="22.5" customHeight="1">
      <c r="A134" s="26">
        <v>3</v>
      </c>
      <c r="B134" s="26" t="s">
        <v>538</v>
      </c>
      <c r="C134" s="26">
        <v>31</v>
      </c>
      <c r="D134" s="29" t="s">
        <v>1151</v>
      </c>
      <c r="E134" s="31">
        <v>315</v>
      </c>
      <c r="F134" s="31" t="s">
        <v>1642</v>
      </c>
      <c r="G134" s="29"/>
      <c r="H134" s="66" t="s">
        <v>2407</v>
      </c>
      <c r="I134" s="29"/>
      <c r="J134" s="38"/>
      <c r="K134" s="36"/>
      <c r="L134" s="48" t="s">
        <v>1707</v>
      </c>
      <c r="M134" s="48" t="s">
        <v>1708</v>
      </c>
      <c r="N134" s="69" t="s">
        <v>2067</v>
      </c>
      <c r="O134" s="64" t="s">
        <v>1680</v>
      </c>
      <c r="P134" s="48" t="s">
        <v>1681</v>
      </c>
      <c r="Q134" s="48" t="s">
        <v>2073</v>
      </c>
      <c r="R134" s="38" t="s">
        <v>2409</v>
      </c>
      <c r="S134" s="44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1:30" ht="22.5" customHeight="1">
      <c r="A135" s="26">
        <v>3</v>
      </c>
      <c r="B135" s="26" t="s">
        <v>538</v>
      </c>
      <c r="C135" s="26">
        <v>31</v>
      </c>
      <c r="D135" s="29" t="s">
        <v>1151</v>
      </c>
      <c r="E135" s="31">
        <v>315</v>
      </c>
      <c r="F135" s="31" t="s">
        <v>1642</v>
      </c>
      <c r="G135" s="29"/>
      <c r="H135" s="66" t="s">
        <v>2410</v>
      </c>
      <c r="I135" s="29"/>
      <c r="J135" s="38"/>
      <c r="K135" s="36"/>
      <c r="L135" s="48" t="s">
        <v>1707</v>
      </c>
      <c r="M135" s="48" t="s">
        <v>1708</v>
      </c>
      <c r="N135" s="69" t="s">
        <v>2067</v>
      </c>
      <c r="O135" s="64" t="s">
        <v>1680</v>
      </c>
      <c r="P135" s="48" t="s">
        <v>1681</v>
      </c>
      <c r="Q135" s="48" t="s">
        <v>1146</v>
      </c>
      <c r="R135" s="38"/>
      <c r="S135" s="44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1:30" ht="22.5" customHeight="1">
      <c r="A136" s="26">
        <v>3</v>
      </c>
      <c r="B136" s="26" t="s">
        <v>538</v>
      </c>
      <c r="C136" s="26">
        <v>31</v>
      </c>
      <c r="D136" s="29" t="s">
        <v>1151</v>
      </c>
      <c r="E136" s="31">
        <v>315</v>
      </c>
      <c r="F136" s="31" t="s">
        <v>1642</v>
      </c>
      <c r="G136" s="29"/>
      <c r="H136" s="33" t="s">
        <v>2411</v>
      </c>
      <c r="I136" s="29"/>
      <c r="J136" s="38"/>
      <c r="K136" s="36"/>
      <c r="L136" s="48" t="s">
        <v>2412</v>
      </c>
      <c r="M136" s="48" t="s">
        <v>2413</v>
      </c>
      <c r="N136" s="69" t="s">
        <v>2414</v>
      </c>
      <c r="O136" s="64" t="s">
        <v>1680</v>
      </c>
      <c r="P136" s="48" t="s">
        <v>1681</v>
      </c>
      <c r="Q136" s="48" t="s">
        <v>2415</v>
      </c>
      <c r="R136" s="38"/>
      <c r="S136" s="44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1:30" ht="22.5" customHeight="1">
      <c r="A137" s="26">
        <v>3</v>
      </c>
      <c r="B137" s="26" t="s">
        <v>538</v>
      </c>
      <c r="C137" s="26">
        <v>31</v>
      </c>
      <c r="D137" s="29" t="s">
        <v>1151</v>
      </c>
      <c r="E137" s="31">
        <v>315</v>
      </c>
      <c r="F137" s="31" t="s">
        <v>1642</v>
      </c>
      <c r="G137" s="29"/>
      <c r="H137" s="33" t="s">
        <v>2416</v>
      </c>
      <c r="I137" s="29"/>
      <c r="J137" s="38"/>
      <c r="K137" s="36"/>
      <c r="L137" s="48" t="s">
        <v>2418</v>
      </c>
      <c r="M137" s="48"/>
      <c r="N137" s="48"/>
      <c r="O137" s="64" t="s">
        <v>1680</v>
      </c>
      <c r="P137" s="48" t="s">
        <v>1681</v>
      </c>
      <c r="Q137" s="48" t="s">
        <v>1848</v>
      </c>
      <c r="R137" s="38" t="s">
        <v>2420</v>
      </c>
      <c r="S137" s="44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1:30" ht="22.5" customHeight="1">
      <c r="A138" s="26">
        <v>3</v>
      </c>
      <c r="B138" s="26" t="s">
        <v>538</v>
      </c>
      <c r="C138" s="26">
        <v>31</v>
      </c>
      <c r="D138" s="29" t="s">
        <v>1151</v>
      </c>
      <c r="E138" s="31">
        <v>315</v>
      </c>
      <c r="F138" s="31" t="s">
        <v>1642</v>
      </c>
      <c r="G138" s="29"/>
      <c r="H138" s="33" t="s">
        <v>2421</v>
      </c>
      <c r="I138" s="29" t="s">
        <v>2422</v>
      </c>
      <c r="J138" s="38"/>
      <c r="K138" s="36"/>
      <c r="L138" s="48" t="s">
        <v>1707</v>
      </c>
      <c r="M138" s="48" t="s">
        <v>1708</v>
      </c>
      <c r="N138" s="48" t="s">
        <v>2421</v>
      </c>
      <c r="O138" s="64" t="s">
        <v>1680</v>
      </c>
      <c r="P138" s="48" t="s">
        <v>1681</v>
      </c>
      <c r="Q138" s="48" t="s">
        <v>2200</v>
      </c>
      <c r="R138" s="38" t="s">
        <v>2433</v>
      </c>
      <c r="S138" s="44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1:30" ht="22.5" customHeight="1">
      <c r="A139" s="26">
        <v>3</v>
      </c>
      <c r="B139" s="26" t="s">
        <v>538</v>
      </c>
      <c r="C139" s="26">
        <v>31</v>
      </c>
      <c r="D139" s="29" t="s">
        <v>1151</v>
      </c>
      <c r="E139" s="31">
        <v>315</v>
      </c>
      <c r="F139" s="31" t="s">
        <v>1642</v>
      </c>
      <c r="G139" s="29"/>
      <c r="H139" s="66" t="s">
        <v>2437</v>
      </c>
      <c r="I139" s="29" t="s">
        <v>2438</v>
      </c>
      <c r="J139" s="38"/>
      <c r="K139" s="36"/>
      <c r="L139" s="48" t="s">
        <v>1707</v>
      </c>
      <c r="M139" s="48" t="s">
        <v>1708</v>
      </c>
      <c r="N139" s="48" t="s">
        <v>2421</v>
      </c>
      <c r="O139" s="64" t="s">
        <v>1680</v>
      </c>
      <c r="P139" s="48" t="s">
        <v>1681</v>
      </c>
      <c r="Q139" s="48" t="s">
        <v>2200</v>
      </c>
      <c r="R139" s="38" t="s">
        <v>2442</v>
      </c>
      <c r="S139" s="44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1:30" ht="22.5" customHeight="1">
      <c r="A140" s="26">
        <v>3</v>
      </c>
      <c r="B140" s="26" t="s">
        <v>538</v>
      </c>
      <c r="C140" s="26">
        <v>31</v>
      </c>
      <c r="D140" s="29" t="s">
        <v>1151</v>
      </c>
      <c r="E140" s="31">
        <v>315</v>
      </c>
      <c r="F140" s="31" t="s">
        <v>1642</v>
      </c>
      <c r="G140" s="29"/>
      <c r="H140" s="66" t="s">
        <v>2443</v>
      </c>
      <c r="I140" s="29" t="s">
        <v>2445</v>
      </c>
      <c r="J140" s="38"/>
      <c r="K140" s="36"/>
      <c r="L140" s="48" t="s">
        <v>1707</v>
      </c>
      <c r="M140" s="48" t="s">
        <v>1708</v>
      </c>
      <c r="N140" s="48" t="s">
        <v>2421</v>
      </c>
      <c r="O140" s="64" t="s">
        <v>1680</v>
      </c>
      <c r="P140" s="48" t="s">
        <v>1681</v>
      </c>
      <c r="Q140" s="48" t="s">
        <v>2200</v>
      </c>
      <c r="R140" s="38" t="s">
        <v>2446</v>
      </c>
      <c r="S140" s="44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1:30" ht="22.5" customHeight="1">
      <c r="A141" s="26">
        <v>3</v>
      </c>
      <c r="B141" s="26" t="s">
        <v>538</v>
      </c>
      <c r="C141" s="26">
        <v>31</v>
      </c>
      <c r="D141" s="29" t="s">
        <v>1151</v>
      </c>
      <c r="E141" s="31">
        <v>315</v>
      </c>
      <c r="F141" s="31" t="s">
        <v>1642</v>
      </c>
      <c r="G141" s="29"/>
      <c r="H141" s="33" t="s">
        <v>2449</v>
      </c>
      <c r="I141" s="29"/>
      <c r="J141" s="38"/>
      <c r="K141" s="36"/>
      <c r="L141" s="48" t="s">
        <v>1707</v>
      </c>
      <c r="M141" s="48" t="s">
        <v>1708</v>
      </c>
      <c r="N141" s="48" t="s">
        <v>2421</v>
      </c>
      <c r="O141" s="64" t="s">
        <v>1680</v>
      </c>
      <c r="P141" s="48" t="s">
        <v>1681</v>
      </c>
      <c r="Q141" s="48" t="s">
        <v>2200</v>
      </c>
      <c r="R141" s="38" t="s">
        <v>2452</v>
      </c>
      <c r="S141" s="44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1:30" ht="22.5" customHeight="1">
      <c r="A142" s="26">
        <v>3</v>
      </c>
      <c r="B142" s="26" t="s">
        <v>538</v>
      </c>
      <c r="C142" s="26">
        <v>31</v>
      </c>
      <c r="D142" s="29" t="s">
        <v>1151</v>
      </c>
      <c r="E142" s="31">
        <v>315</v>
      </c>
      <c r="F142" s="31" t="s">
        <v>1642</v>
      </c>
      <c r="G142" s="29"/>
      <c r="H142" s="33" t="s">
        <v>2455</v>
      </c>
      <c r="I142" s="28" t="s">
        <v>2456</v>
      </c>
      <c r="J142" s="38"/>
      <c r="K142" s="36"/>
      <c r="L142" s="48" t="s">
        <v>1957</v>
      </c>
      <c r="M142" s="48" t="s">
        <v>1958</v>
      </c>
      <c r="N142" s="48" t="s">
        <v>2455</v>
      </c>
      <c r="O142" s="64" t="s">
        <v>1680</v>
      </c>
      <c r="P142" s="48" t="s">
        <v>1681</v>
      </c>
      <c r="Q142" s="48" t="s">
        <v>1975</v>
      </c>
      <c r="R142" s="38" t="s">
        <v>2458</v>
      </c>
      <c r="S142" s="44"/>
      <c r="T142" s="15"/>
      <c r="U142" s="15"/>
      <c r="V142" s="15"/>
      <c r="W142" s="15"/>
      <c r="X142" s="15"/>
      <c r="Y142" s="15"/>
      <c r="Z142" s="15"/>
      <c r="AA142" s="15"/>
      <c r="AB142" s="15"/>
      <c r="AC142" s="99"/>
      <c r="AD142" s="15"/>
    </row>
    <row r="143" spans="1:30" ht="22.5" customHeight="1">
      <c r="A143" s="26">
        <v>3</v>
      </c>
      <c r="B143" s="26" t="s">
        <v>538</v>
      </c>
      <c r="C143" s="26">
        <v>31</v>
      </c>
      <c r="D143" s="29" t="s">
        <v>1151</v>
      </c>
      <c r="E143" s="31">
        <v>315</v>
      </c>
      <c r="F143" s="31" t="s">
        <v>1642</v>
      </c>
      <c r="G143" s="29"/>
      <c r="H143" s="33" t="s">
        <v>2471</v>
      </c>
      <c r="I143" s="29" t="s">
        <v>2472</v>
      </c>
      <c r="J143" s="38"/>
      <c r="K143" s="36"/>
      <c r="L143" s="48" t="s">
        <v>1957</v>
      </c>
      <c r="M143" s="48" t="s">
        <v>1958</v>
      </c>
      <c r="N143" s="48" t="s">
        <v>2455</v>
      </c>
      <c r="O143" s="64" t="s">
        <v>1680</v>
      </c>
      <c r="P143" s="48" t="s">
        <v>1681</v>
      </c>
      <c r="Q143" s="48" t="s">
        <v>1975</v>
      </c>
      <c r="R143" s="38" t="s">
        <v>2474</v>
      </c>
      <c r="S143" s="44"/>
      <c r="T143" s="15"/>
      <c r="U143" s="15"/>
      <c r="V143" s="15"/>
      <c r="W143" s="15"/>
      <c r="X143" s="15"/>
      <c r="Y143" s="15"/>
      <c r="Z143" s="15"/>
      <c r="AA143" s="15"/>
      <c r="AB143" s="15"/>
      <c r="AC143" s="99"/>
      <c r="AD143" s="15"/>
    </row>
    <row r="144" spans="1:30" ht="22.5" customHeight="1">
      <c r="A144" s="26">
        <v>3</v>
      </c>
      <c r="B144" s="26" t="s">
        <v>538</v>
      </c>
      <c r="C144" s="26">
        <v>31</v>
      </c>
      <c r="D144" s="29" t="s">
        <v>1151</v>
      </c>
      <c r="E144" s="31">
        <v>315</v>
      </c>
      <c r="F144" s="31" t="s">
        <v>1642</v>
      </c>
      <c r="G144" s="29"/>
      <c r="H144" s="33" t="s">
        <v>2475</v>
      </c>
      <c r="I144" s="29"/>
      <c r="J144" s="38"/>
      <c r="K144" s="36"/>
      <c r="L144" s="48" t="s">
        <v>1707</v>
      </c>
      <c r="M144" s="48" t="s">
        <v>1708</v>
      </c>
      <c r="N144" s="69" t="s">
        <v>2067</v>
      </c>
      <c r="O144" s="64" t="s">
        <v>1680</v>
      </c>
      <c r="P144" s="48" t="s">
        <v>1681</v>
      </c>
      <c r="Q144" s="48" t="s">
        <v>2073</v>
      </c>
      <c r="R144" s="38" t="s">
        <v>2483</v>
      </c>
      <c r="S144" s="44"/>
      <c r="T144" s="15"/>
      <c r="U144" s="15"/>
      <c r="V144" s="15"/>
      <c r="W144" s="15"/>
      <c r="X144" s="15"/>
      <c r="Y144" s="15"/>
      <c r="Z144" s="15"/>
      <c r="AA144" s="15"/>
      <c r="AB144" s="15"/>
      <c r="AC144" s="99"/>
      <c r="AD144" s="15"/>
    </row>
    <row r="145" spans="1:30" ht="22.5" customHeight="1">
      <c r="A145" s="26">
        <v>3</v>
      </c>
      <c r="B145" s="26" t="s">
        <v>538</v>
      </c>
      <c r="C145" s="26">
        <v>31</v>
      </c>
      <c r="D145" s="29" t="s">
        <v>1151</v>
      </c>
      <c r="E145" s="31">
        <v>315</v>
      </c>
      <c r="F145" s="31" t="s">
        <v>1642</v>
      </c>
      <c r="G145" s="56" t="s">
        <v>1772</v>
      </c>
      <c r="H145" s="50" t="s">
        <v>2488</v>
      </c>
      <c r="I145" s="40" t="s">
        <v>2489</v>
      </c>
      <c r="J145" s="42"/>
      <c r="K145" s="48"/>
      <c r="L145" s="48" t="s">
        <v>2490</v>
      </c>
      <c r="M145" s="48" t="s">
        <v>2493</v>
      </c>
      <c r="N145" s="48" t="s">
        <v>2495</v>
      </c>
      <c r="O145" s="48" t="s">
        <v>2497</v>
      </c>
      <c r="P145" s="48" t="s">
        <v>2499</v>
      </c>
      <c r="Q145" s="48" t="s">
        <v>2500</v>
      </c>
      <c r="R145" s="38" t="s">
        <v>2501</v>
      </c>
      <c r="S145" s="48"/>
      <c r="T145" s="15"/>
      <c r="U145" s="15"/>
      <c r="V145" s="15"/>
      <c r="W145" s="15"/>
      <c r="X145" s="15"/>
      <c r="Y145" s="15"/>
      <c r="Z145" s="15"/>
      <c r="AA145" s="15"/>
      <c r="AB145" s="15"/>
      <c r="AC145" s="100"/>
      <c r="AD145" s="15"/>
    </row>
    <row r="146" spans="1:30" ht="22.5" customHeight="1">
      <c r="A146" s="26">
        <v>3</v>
      </c>
      <c r="B146" s="26" t="s">
        <v>538</v>
      </c>
      <c r="C146" s="26">
        <v>31</v>
      </c>
      <c r="D146" s="29" t="s">
        <v>1151</v>
      </c>
      <c r="E146" s="31">
        <v>315</v>
      </c>
      <c r="F146" s="31" t="s">
        <v>1642</v>
      </c>
      <c r="G146" s="29"/>
      <c r="H146" s="33" t="s">
        <v>2512</v>
      </c>
      <c r="I146" s="29" t="s">
        <v>1654</v>
      </c>
      <c r="J146" s="38"/>
      <c r="K146" s="36"/>
      <c r="L146" s="48" t="s">
        <v>1645</v>
      </c>
      <c r="M146" s="48" t="s">
        <v>1646</v>
      </c>
      <c r="N146" s="48" t="s">
        <v>2512</v>
      </c>
      <c r="O146" s="48" t="s">
        <v>1649</v>
      </c>
      <c r="P146" s="48" t="s">
        <v>1650</v>
      </c>
      <c r="Q146" s="48" t="s">
        <v>1652</v>
      </c>
      <c r="R146" s="38"/>
      <c r="S146" s="44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1:30" ht="22.5" customHeight="1">
      <c r="A147" s="26">
        <v>3</v>
      </c>
      <c r="B147" s="26" t="s">
        <v>538</v>
      </c>
      <c r="C147" s="26">
        <v>31</v>
      </c>
      <c r="D147" s="29" t="s">
        <v>1151</v>
      </c>
      <c r="E147" s="31">
        <v>315</v>
      </c>
      <c r="F147" s="31" t="s">
        <v>1642</v>
      </c>
      <c r="G147" s="56" t="s">
        <v>1772</v>
      </c>
      <c r="H147" s="50" t="s">
        <v>2513</v>
      </c>
      <c r="I147" s="52" t="s">
        <v>2514</v>
      </c>
      <c r="J147" s="42"/>
      <c r="K147" s="48"/>
      <c r="L147" s="95" t="s">
        <v>2515</v>
      </c>
      <c r="M147" s="95" t="s">
        <v>2513</v>
      </c>
      <c r="N147" s="95"/>
      <c r="O147" s="48" t="s">
        <v>1877</v>
      </c>
      <c r="P147" s="48" t="s">
        <v>1878</v>
      </c>
      <c r="Q147" s="48" t="s">
        <v>1879</v>
      </c>
      <c r="R147" s="38"/>
      <c r="S147" s="48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1:30" ht="22.5" customHeight="1">
      <c r="A148" s="26">
        <v>3</v>
      </c>
      <c r="B148" s="26" t="s">
        <v>538</v>
      </c>
      <c r="C148" s="26">
        <v>31</v>
      </c>
      <c r="D148" s="29" t="s">
        <v>1151</v>
      </c>
      <c r="E148" s="31">
        <v>315</v>
      </c>
      <c r="F148" s="31" t="s">
        <v>1642</v>
      </c>
      <c r="G148" s="29"/>
      <c r="H148" s="33" t="s">
        <v>2516</v>
      </c>
      <c r="I148" s="28" t="s">
        <v>2517</v>
      </c>
      <c r="J148" s="38"/>
      <c r="K148" s="36"/>
      <c r="L148" s="48" t="s">
        <v>1957</v>
      </c>
      <c r="M148" s="48" t="s">
        <v>1958</v>
      </c>
      <c r="N148" s="48" t="s">
        <v>2455</v>
      </c>
      <c r="O148" s="64" t="s">
        <v>1680</v>
      </c>
      <c r="P148" s="48" t="s">
        <v>1681</v>
      </c>
      <c r="Q148" s="48" t="s">
        <v>1975</v>
      </c>
      <c r="R148" s="38" t="s">
        <v>2519</v>
      </c>
      <c r="S148" s="44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1:30" ht="22.5" customHeight="1">
      <c r="A149" s="26">
        <v>3</v>
      </c>
      <c r="B149" s="26" t="s">
        <v>538</v>
      </c>
      <c r="C149" s="26">
        <v>31</v>
      </c>
      <c r="D149" s="29" t="s">
        <v>1151</v>
      </c>
      <c r="E149" s="31">
        <v>315</v>
      </c>
      <c r="F149" s="31" t="s">
        <v>1642</v>
      </c>
      <c r="G149" s="56" t="s">
        <v>1772</v>
      </c>
      <c r="H149" s="59" t="s">
        <v>2520</v>
      </c>
      <c r="I149" s="29" t="s">
        <v>2521</v>
      </c>
      <c r="J149" s="42" t="s">
        <v>2523</v>
      </c>
      <c r="K149" s="48"/>
      <c r="L149" s="48" t="s">
        <v>1777</v>
      </c>
      <c r="M149" s="95" t="s">
        <v>2284</v>
      </c>
      <c r="N149" s="48" t="s">
        <v>2525</v>
      </c>
      <c r="O149" s="48" t="s">
        <v>1779</v>
      </c>
      <c r="P149" s="48"/>
      <c r="Q149" s="48"/>
      <c r="R149" s="38"/>
      <c r="S149" s="48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1:30" ht="22.5" customHeight="1">
      <c r="A150" s="26">
        <v>3</v>
      </c>
      <c r="B150" s="26" t="s">
        <v>538</v>
      </c>
      <c r="C150" s="26">
        <v>31</v>
      </c>
      <c r="D150" s="29" t="s">
        <v>1151</v>
      </c>
      <c r="E150" s="31">
        <v>315</v>
      </c>
      <c r="F150" s="31" t="s">
        <v>1642</v>
      </c>
      <c r="G150" s="29"/>
      <c r="H150" s="33" t="s">
        <v>2527</v>
      </c>
      <c r="I150" s="29" t="s">
        <v>2528</v>
      </c>
      <c r="J150" s="38" t="s">
        <v>2530</v>
      </c>
      <c r="K150" s="36"/>
      <c r="L150" s="101" t="s">
        <v>2532</v>
      </c>
      <c r="M150" s="48" t="s">
        <v>1435</v>
      </c>
      <c r="N150" s="48" t="s">
        <v>1797</v>
      </c>
      <c r="O150" s="64" t="s">
        <v>1680</v>
      </c>
      <c r="P150" s="48" t="s">
        <v>1681</v>
      </c>
      <c r="Q150" s="48" t="s">
        <v>1799</v>
      </c>
      <c r="R150" s="38" t="s">
        <v>2547</v>
      </c>
      <c r="S150" s="44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1:30" ht="22.5" customHeight="1">
      <c r="A151" s="26">
        <v>3</v>
      </c>
      <c r="B151" s="26" t="s">
        <v>538</v>
      </c>
      <c r="C151" s="26">
        <v>31</v>
      </c>
      <c r="D151" s="29" t="s">
        <v>1151</v>
      </c>
      <c r="E151" s="31">
        <v>316</v>
      </c>
      <c r="F151" s="31" t="s">
        <v>2548</v>
      </c>
      <c r="G151" s="56" t="s">
        <v>2549</v>
      </c>
      <c r="H151" s="59" t="s">
        <v>2550</v>
      </c>
      <c r="I151" s="64"/>
      <c r="J151" s="64"/>
      <c r="K151" s="37"/>
      <c r="L151" s="48"/>
      <c r="M151" s="64"/>
      <c r="N151" s="48"/>
      <c r="O151" s="42" t="s">
        <v>1034</v>
      </c>
      <c r="P151" s="42" t="s">
        <v>1035</v>
      </c>
      <c r="Q151" s="42" t="s">
        <v>1037</v>
      </c>
      <c r="R151" s="38"/>
      <c r="S151" s="48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1:30" ht="22.5" customHeight="1">
      <c r="A152" s="26">
        <v>3</v>
      </c>
      <c r="B152" s="26" t="s">
        <v>538</v>
      </c>
      <c r="C152" s="26">
        <v>32</v>
      </c>
      <c r="D152" s="29" t="s">
        <v>2553</v>
      </c>
      <c r="E152" s="31">
        <v>321</v>
      </c>
      <c r="F152" s="31" t="s">
        <v>2555</v>
      </c>
      <c r="G152" s="32" t="s">
        <v>2557</v>
      </c>
      <c r="H152" s="59" t="s">
        <v>2558</v>
      </c>
      <c r="I152" s="40"/>
      <c r="J152" s="38" t="s">
        <v>808</v>
      </c>
      <c r="K152" s="48"/>
      <c r="L152" s="38" t="s">
        <v>722</v>
      </c>
      <c r="M152" s="42" t="s">
        <v>724</v>
      </c>
      <c r="N152" s="28" t="s">
        <v>726</v>
      </c>
      <c r="O152" s="38" t="s">
        <v>809</v>
      </c>
      <c r="P152" s="38" t="s">
        <v>810</v>
      </c>
      <c r="Q152" s="38" t="s">
        <v>811</v>
      </c>
      <c r="R152" s="38"/>
      <c r="S152" s="48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1:30" ht="22.5" customHeight="1">
      <c r="A153" s="26">
        <v>3</v>
      </c>
      <c r="B153" s="26" t="s">
        <v>538</v>
      </c>
      <c r="C153" s="26">
        <v>32</v>
      </c>
      <c r="D153" s="29" t="s">
        <v>2553</v>
      </c>
      <c r="E153" s="31">
        <v>321</v>
      </c>
      <c r="F153" s="31" t="s">
        <v>2555</v>
      </c>
      <c r="G153" s="32" t="s">
        <v>2557</v>
      </c>
      <c r="H153" s="66" t="s">
        <v>2561</v>
      </c>
      <c r="I153" s="28" t="s">
        <v>2562</v>
      </c>
      <c r="J153" s="85" t="s">
        <v>1202</v>
      </c>
      <c r="K153" s="48"/>
      <c r="L153" s="38" t="s">
        <v>565</v>
      </c>
      <c r="M153" s="42" t="s">
        <v>566</v>
      </c>
      <c r="N153" s="29" t="s">
        <v>794</v>
      </c>
      <c r="O153" s="38" t="s">
        <v>569</v>
      </c>
      <c r="P153" s="38" t="s">
        <v>571</v>
      </c>
      <c r="Q153" s="38" t="s">
        <v>795</v>
      </c>
      <c r="R153" s="38" t="s">
        <v>796</v>
      </c>
      <c r="S153" s="48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1:30" ht="22.5" customHeight="1">
      <c r="A154" s="26">
        <v>3</v>
      </c>
      <c r="B154" s="26" t="s">
        <v>538</v>
      </c>
      <c r="C154" s="26">
        <v>32</v>
      </c>
      <c r="D154" s="29" t="s">
        <v>2553</v>
      </c>
      <c r="E154" s="31">
        <v>321</v>
      </c>
      <c r="F154" s="31" t="s">
        <v>2555</v>
      </c>
      <c r="G154" s="32" t="s">
        <v>2557</v>
      </c>
      <c r="H154" s="66" t="s">
        <v>2576</v>
      </c>
      <c r="I154" s="29"/>
      <c r="J154" s="38" t="s">
        <v>887</v>
      </c>
      <c r="K154" s="48"/>
      <c r="L154" s="38" t="s">
        <v>565</v>
      </c>
      <c r="M154" s="42" t="s">
        <v>566</v>
      </c>
      <c r="N154" s="29" t="s">
        <v>794</v>
      </c>
      <c r="O154" s="38" t="s">
        <v>569</v>
      </c>
      <c r="P154" s="38" t="s">
        <v>571</v>
      </c>
      <c r="Q154" s="38" t="s">
        <v>795</v>
      </c>
      <c r="R154" s="38" t="s">
        <v>910</v>
      </c>
      <c r="S154" s="48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1:30" ht="22.5" customHeight="1">
      <c r="A155" s="26">
        <v>3</v>
      </c>
      <c r="B155" s="26" t="s">
        <v>538</v>
      </c>
      <c r="C155" s="26">
        <v>32</v>
      </c>
      <c r="D155" s="29" t="s">
        <v>2553</v>
      </c>
      <c r="E155" s="31">
        <v>321</v>
      </c>
      <c r="F155" s="31" t="s">
        <v>2555</v>
      </c>
      <c r="G155" s="32" t="s">
        <v>2557</v>
      </c>
      <c r="H155" s="66" t="s">
        <v>2581</v>
      </c>
      <c r="I155" s="28" t="s">
        <v>550</v>
      </c>
      <c r="J155" s="38" t="s">
        <v>552</v>
      </c>
      <c r="K155" s="48"/>
      <c r="L155" s="38" t="s">
        <v>565</v>
      </c>
      <c r="M155" s="42" t="s">
        <v>566</v>
      </c>
      <c r="N155" s="28" t="s">
        <v>567</v>
      </c>
      <c r="O155" s="38" t="s">
        <v>569</v>
      </c>
      <c r="P155" s="38" t="s">
        <v>571</v>
      </c>
      <c r="Q155" s="38" t="s">
        <v>573</v>
      </c>
      <c r="R155" s="38"/>
      <c r="S155" s="48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1:30" ht="22.5" customHeight="1">
      <c r="A156" s="26">
        <v>3</v>
      </c>
      <c r="B156" s="26" t="s">
        <v>538</v>
      </c>
      <c r="C156" s="26">
        <v>32</v>
      </c>
      <c r="D156" s="29" t="s">
        <v>2553</v>
      </c>
      <c r="E156" s="31">
        <v>322</v>
      </c>
      <c r="F156" s="31" t="s">
        <v>2593</v>
      </c>
      <c r="G156" s="32" t="s">
        <v>1258</v>
      </c>
      <c r="H156" s="59" t="s">
        <v>2594</v>
      </c>
      <c r="I156" s="40"/>
      <c r="J156" s="38" t="s">
        <v>808</v>
      </c>
      <c r="K156" s="48"/>
      <c r="L156" s="38" t="s">
        <v>722</v>
      </c>
      <c r="M156" s="42" t="s">
        <v>724</v>
      </c>
      <c r="N156" s="28" t="s">
        <v>726</v>
      </c>
      <c r="O156" s="38" t="s">
        <v>809</v>
      </c>
      <c r="P156" s="38" t="s">
        <v>810</v>
      </c>
      <c r="Q156" s="38" t="s">
        <v>811</v>
      </c>
      <c r="R156" s="38"/>
      <c r="S156" s="48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1:30" ht="22.5" customHeight="1">
      <c r="A157" s="26">
        <v>3</v>
      </c>
      <c r="B157" s="26" t="s">
        <v>538</v>
      </c>
      <c r="C157" s="26">
        <v>32</v>
      </c>
      <c r="D157" s="29" t="s">
        <v>2553</v>
      </c>
      <c r="E157" s="31">
        <v>322</v>
      </c>
      <c r="F157" s="31" t="s">
        <v>2593</v>
      </c>
      <c r="G157" s="32" t="s">
        <v>1258</v>
      </c>
      <c r="H157" s="66" t="s">
        <v>2595</v>
      </c>
      <c r="I157" s="29" t="s">
        <v>2596</v>
      </c>
      <c r="J157" s="85" t="s">
        <v>1202</v>
      </c>
      <c r="K157" s="48"/>
      <c r="L157" s="38" t="s">
        <v>565</v>
      </c>
      <c r="M157" s="42" t="s">
        <v>566</v>
      </c>
      <c r="N157" s="29" t="s">
        <v>794</v>
      </c>
      <c r="O157" s="38" t="s">
        <v>569</v>
      </c>
      <c r="P157" s="38" t="s">
        <v>571</v>
      </c>
      <c r="Q157" s="38" t="s">
        <v>795</v>
      </c>
      <c r="R157" s="38" t="s">
        <v>796</v>
      </c>
      <c r="S157" s="48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1:30" ht="22.5" customHeight="1">
      <c r="A158" s="26">
        <v>3</v>
      </c>
      <c r="B158" s="26" t="s">
        <v>538</v>
      </c>
      <c r="C158" s="26">
        <v>32</v>
      </c>
      <c r="D158" s="29" t="s">
        <v>2553</v>
      </c>
      <c r="E158" s="31">
        <v>322</v>
      </c>
      <c r="F158" s="31" t="s">
        <v>2593</v>
      </c>
      <c r="G158" s="32" t="s">
        <v>1258</v>
      </c>
      <c r="H158" s="66" t="s">
        <v>2605</v>
      </c>
      <c r="I158" s="29"/>
      <c r="J158" s="38" t="s">
        <v>887</v>
      </c>
      <c r="K158" s="48"/>
      <c r="L158" s="38" t="s">
        <v>565</v>
      </c>
      <c r="M158" s="42" t="s">
        <v>566</v>
      </c>
      <c r="N158" s="29" t="s">
        <v>794</v>
      </c>
      <c r="O158" s="38" t="s">
        <v>569</v>
      </c>
      <c r="P158" s="38" t="s">
        <v>571</v>
      </c>
      <c r="Q158" s="38" t="s">
        <v>795</v>
      </c>
      <c r="R158" s="38" t="s">
        <v>910</v>
      </c>
      <c r="S158" s="48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1:30" ht="22.5" customHeight="1">
      <c r="A159" s="26">
        <v>3</v>
      </c>
      <c r="B159" s="26" t="s">
        <v>538</v>
      </c>
      <c r="C159" s="26">
        <v>32</v>
      </c>
      <c r="D159" s="29" t="s">
        <v>2553</v>
      </c>
      <c r="E159" s="31">
        <v>322</v>
      </c>
      <c r="F159" s="31" t="s">
        <v>2593</v>
      </c>
      <c r="G159" s="32" t="s">
        <v>1258</v>
      </c>
      <c r="H159" s="66" t="s">
        <v>2609</v>
      </c>
      <c r="I159" s="28" t="s">
        <v>550</v>
      </c>
      <c r="J159" s="38" t="s">
        <v>552</v>
      </c>
      <c r="K159" s="48"/>
      <c r="L159" s="38" t="s">
        <v>565</v>
      </c>
      <c r="M159" s="42" t="s">
        <v>566</v>
      </c>
      <c r="N159" s="28" t="s">
        <v>567</v>
      </c>
      <c r="O159" s="38" t="s">
        <v>569</v>
      </c>
      <c r="P159" s="38" t="s">
        <v>571</v>
      </c>
      <c r="Q159" s="38" t="s">
        <v>573</v>
      </c>
      <c r="R159" s="38"/>
      <c r="S159" s="48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1:30" ht="22.5" customHeight="1">
      <c r="A160" s="26">
        <v>3</v>
      </c>
      <c r="B160" s="26" t="s">
        <v>538</v>
      </c>
      <c r="C160" s="26">
        <v>32</v>
      </c>
      <c r="D160" s="29" t="s">
        <v>2553</v>
      </c>
      <c r="E160" s="31">
        <v>322</v>
      </c>
      <c r="F160" s="31" t="s">
        <v>2593</v>
      </c>
      <c r="G160" s="32" t="s">
        <v>1258</v>
      </c>
      <c r="H160" s="59" t="s">
        <v>2613</v>
      </c>
      <c r="I160" s="40" t="s">
        <v>2614</v>
      </c>
      <c r="J160" s="42" t="s">
        <v>827</v>
      </c>
      <c r="K160" s="48"/>
      <c r="L160" s="38" t="s">
        <v>786</v>
      </c>
      <c r="M160" s="61" t="s">
        <v>787</v>
      </c>
      <c r="N160" s="29" t="s">
        <v>828</v>
      </c>
      <c r="O160" s="38" t="s">
        <v>789</v>
      </c>
      <c r="P160" s="38" t="s">
        <v>790</v>
      </c>
      <c r="Q160" s="38" t="s">
        <v>791</v>
      </c>
      <c r="R160" s="38"/>
      <c r="S160" s="48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1:30" ht="22.5" customHeight="1">
      <c r="A161" s="134">
        <v>3</v>
      </c>
      <c r="B161" s="134" t="s">
        <v>538</v>
      </c>
      <c r="C161" s="134">
        <v>32</v>
      </c>
      <c r="D161" s="135" t="s">
        <v>2553</v>
      </c>
      <c r="E161" s="126">
        <v>324</v>
      </c>
      <c r="F161" s="126" t="s">
        <v>2626</v>
      </c>
      <c r="G161" s="135" t="s">
        <v>2627</v>
      </c>
      <c r="H161" s="139" t="s">
        <v>2630</v>
      </c>
      <c r="I161" s="135" t="s">
        <v>2631</v>
      </c>
      <c r="J161" s="128" t="s">
        <v>2633</v>
      </c>
      <c r="K161" s="142"/>
      <c r="L161" s="141" t="s">
        <v>2637</v>
      </c>
      <c r="M161" s="141" t="s">
        <v>2640</v>
      </c>
      <c r="N161" s="135"/>
      <c r="O161" s="141" t="s">
        <v>986</v>
      </c>
      <c r="P161" s="141" t="s">
        <v>987</v>
      </c>
      <c r="Q161" s="141" t="s">
        <v>1567</v>
      </c>
      <c r="R161" s="38" t="s">
        <v>2645</v>
      </c>
      <c r="S161" s="142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5"/>
    </row>
    <row r="162" spans="1:30" ht="22.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38" t="s">
        <v>2657</v>
      </c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5"/>
    </row>
    <row r="163" spans="1:30" ht="22.5" customHeight="1">
      <c r="A163" s="134">
        <v>3</v>
      </c>
      <c r="B163" s="134" t="s">
        <v>538</v>
      </c>
      <c r="C163" s="134">
        <v>32</v>
      </c>
      <c r="D163" s="135" t="s">
        <v>2553</v>
      </c>
      <c r="E163" s="126">
        <v>324</v>
      </c>
      <c r="F163" s="126" t="s">
        <v>2553</v>
      </c>
      <c r="G163" s="137" t="s">
        <v>2627</v>
      </c>
      <c r="H163" s="139" t="s">
        <v>2669</v>
      </c>
      <c r="I163" s="135" t="s">
        <v>2673</v>
      </c>
      <c r="J163" s="141" t="s">
        <v>1564</v>
      </c>
      <c r="K163" s="142"/>
      <c r="L163" s="141" t="s">
        <v>1565</v>
      </c>
      <c r="M163" s="141" t="s">
        <v>1566</v>
      </c>
      <c r="N163" s="135"/>
      <c r="O163" s="141" t="s">
        <v>986</v>
      </c>
      <c r="P163" s="141" t="s">
        <v>987</v>
      </c>
      <c r="Q163" s="141" t="s">
        <v>1567</v>
      </c>
      <c r="R163" s="38" t="s">
        <v>2645</v>
      </c>
      <c r="S163" s="142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5"/>
    </row>
    <row r="164" spans="1:30" ht="22.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38" t="s">
        <v>1477</v>
      </c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5"/>
    </row>
    <row r="165" spans="1:30" ht="22.5" customHeight="1">
      <c r="A165" s="134">
        <v>3</v>
      </c>
      <c r="B165" s="134" t="s">
        <v>538</v>
      </c>
      <c r="C165" s="134">
        <v>32</v>
      </c>
      <c r="D165" s="135" t="s">
        <v>2553</v>
      </c>
      <c r="E165" s="126">
        <v>324</v>
      </c>
      <c r="F165" s="126" t="s">
        <v>2553</v>
      </c>
      <c r="G165" s="137" t="s">
        <v>2627</v>
      </c>
      <c r="H165" s="139" t="s">
        <v>2709</v>
      </c>
      <c r="I165" s="135" t="s">
        <v>2712</v>
      </c>
      <c r="J165" s="141" t="s">
        <v>1564</v>
      </c>
      <c r="K165" s="142"/>
      <c r="L165" s="141" t="s">
        <v>1565</v>
      </c>
      <c r="M165" s="141" t="s">
        <v>1566</v>
      </c>
      <c r="N165" s="135"/>
      <c r="O165" s="141" t="s">
        <v>986</v>
      </c>
      <c r="P165" s="141" t="s">
        <v>987</v>
      </c>
      <c r="Q165" s="141" t="s">
        <v>1567</v>
      </c>
      <c r="R165" s="38" t="s">
        <v>2645</v>
      </c>
      <c r="S165" s="142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5"/>
    </row>
    <row r="166" spans="1:30" ht="22.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38" t="s">
        <v>1477</v>
      </c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5"/>
    </row>
    <row r="167" spans="1:30" ht="22.5" customHeight="1">
      <c r="A167" s="26">
        <v>3</v>
      </c>
      <c r="B167" s="26" t="s">
        <v>538</v>
      </c>
      <c r="C167" s="26">
        <v>32</v>
      </c>
      <c r="D167" s="29" t="s">
        <v>2553</v>
      </c>
      <c r="E167" s="31">
        <v>325</v>
      </c>
      <c r="F167" s="31" t="s">
        <v>2736</v>
      </c>
      <c r="G167" s="56" t="s">
        <v>2737</v>
      </c>
      <c r="H167" s="50" t="s">
        <v>2738</v>
      </c>
      <c r="I167" s="40" t="s">
        <v>2739</v>
      </c>
      <c r="J167" s="42" t="s">
        <v>2741</v>
      </c>
      <c r="K167" s="48"/>
      <c r="L167" s="38" t="s">
        <v>921</v>
      </c>
      <c r="M167" s="38" t="s">
        <v>935</v>
      </c>
      <c r="N167" s="29" t="s">
        <v>2738</v>
      </c>
      <c r="O167" s="38" t="s">
        <v>936</v>
      </c>
      <c r="P167" s="38" t="s">
        <v>937</v>
      </c>
      <c r="Q167" s="38" t="s">
        <v>2746</v>
      </c>
      <c r="R167" s="38"/>
      <c r="S167" s="48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30" ht="22.5" customHeight="1">
      <c r="A168" s="134">
        <v>3</v>
      </c>
      <c r="B168" s="134" t="s">
        <v>538</v>
      </c>
      <c r="C168" s="134">
        <v>32</v>
      </c>
      <c r="D168" s="135" t="s">
        <v>2553</v>
      </c>
      <c r="E168" s="126">
        <v>325</v>
      </c>
      <c r="F168" s="126" t="s">
        <v>2736</v>
      </c>
      <c r="G168" s="137" t="s">
        <v>2737</v>
      </c>
      <c r="H168" s="136" t="s">
        <v>2755</v>
      </c>
      <c r="I168" s="129" t="s">
        <v>2759</v>
      </c>
      <c r="J168" s="128" t="s">
        <v>2765</v>
      </c>
      <c r="K168" s="142"/>
      <c r="L168" s="141" t="s">
        <v>1872</v>
      </c>
      <c r="M168" s="141" t="s">
        <v>1874</v>
      </c>
      <c r="N168" s="135" t="s">
        <v>1875</v>
      </c>
      <c r="O168" s="141" t="s">
        <v>1877</v>
      </c>
      <c r="P168" s="141" t="s">
        <v>1878</v>
      </c>
      <c r="Q168" s="141" t="s">
        <v>1879</v>
      </c>
      <c r="R168" s="38" t="s">
        <v>1880</v>
      </c>
      <c r="S168" s="142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5"/>
    </row>
    <row r="169" spans="1:30" ht="22.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38" t="s">
        <v>1895</v>
      </c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5"/>
    </row>
    <row r="170" spans="1:30" ht="22.5" customHeight="1">
      <c r="A170" s="134">
        <v>3</v>
      </c>
      <c r="B170" s="134" t="s">
        <v>538</v>
      </c>
      <c r="C170" s="134">
        <v>32</v>
      </c>
      <c r="D170" s="135" t="s">
        <v>2553</v>
      </c>
      <c r="E170" s="126">
        <v>325</v>
      </c>
      <c r="F170" s="126" t="s">
        <v>2736</v>
      </c>
      <c r="G170" s="135" t="s">
        <v>2737</v>
      </c>
      <c r="H170" s="136" t="s">
        <v>2793</v>
      </c>
      <c r="I170" s="129" t="s">
        <v>2794</v>
      </c>
      <c r="J170" s="128" t="s">
        <v>2797</v>
      </c>
      <c r="K170" s="142"/>
      <c r="L170" s="141" t="s">
        <v>1719</v>
      </c>
      <c r="M170" s="141" t="s">
        <v>2828</v>
      </c>
      <c r="N170" s="135" t="s">
        <v>2829</v>
      </c>
      <c r="O170" s="141" t="s">
        <v>2830</v>
      </c>
      <c r="P170" s="141" t="s">
        <v>1724</v>
      </c>
      <c r="Q170" s="141" t="s">
        <v>2833</v>
      </c>
      <c r="R170" s="38" t="s">
        <v>2836</v>
      </c>
      <c r="S170" s="142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5"/>
    </row>
    <row r="171" spans="1:30" ht="22.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38" t="s">
        <v>2841</v>
      </c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5"/>
    </row>
    <row r="172" spans="1:30" ht="22.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38" t="s">
        <v>2843</v>
      </c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5"/>
    </row>
    <row r="173" spans="1:30" ht="21.75" customHeight="1">
      <c r="A173" s="134">
        <v>3</v>
      </c>
      <c r="B173" s="134" t="s">
        <v>538</v>
      </c>
      <c r="C173" s="134">
        <v>32</v>
      </c>
      <c r="D173" s="135" t="s">
        <v>2553</v>
      </c>
      <c r="E173" s="126">
        <v>325</v>
      </c>
      <c r="F173" s="126" t="s">
        <v>2736</v>
      </c>
      <c r="G173" s="135" t="s">
        <v>2737</v>
      </c>
      <c r="H173" s="136" t="s">
        <v>2854</v>
      </c>
      <c r="I173" s="129"/>
      <c r="J173" s="128"/>
      <c r="K173" s="142"/>
      <c r="L173" s="128" t="s">
        <v>2861</v>
      </c>
      <c r="M173" s="128" t="s">
        <v>2864</v>
      </c>
      <c r="N173" s="135" t="s">
        <v>2868</v>
      </c>
      <c r="O173" s="141" t="s">
        <v>2830</v>
      </c>
      <c r="P173" s="141" t="s">
        <v>1724</v>
      </c>
      <c r="Q173" s="141" t="s">
        <v>1725</v>
      </c>
      <c r="R173" s="38" t="s">
        <v>2871</v>
      </c>
      <c r="S173" s="142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5"/>
    </row>
    <row r="174" spans="1:30" ht="22.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38" t="s">
        <v>2841</v>
      </c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5"/>
    </row>
    <row r="175" spans="1:30" ht="22.5" customHeight="1">
      <c r="A175" s="26">
        <v>3</v>
      </c>
      <c r="B175" s="26" t="s">
        <v>538</v>
      </c>
      <c r="C175" s="26">
        <v>32</v>
      </c>
      <c r="D175" s="29" t="s">
        <v>2553</v>
      </c>
      <c r="E175" s="31">
        <v>325</v>
      </c>
      <c r="F175" s="31" t="s">
        <v>2736</v>
      </c>
      <c r="G175" s="56" t="s">
        <v>2737</v>
      </c>
      <c r="H175" s="50" t="s">
        <v>2284</v>
      </c>
      <c r="I175" s="52" t="s">
        <v>2759</v>
      </c>
      <c r="J175" s="42" t="s">
        <v>2894</v>
      </c>
      <c r="K175" s="48"/>
      <c r="L175" s="38" t="s">
        <v>1777</v>
      </c>
      <c r="M175" s="38" t="s">
        <v>2284</v>
      </c>
      <c r="N175" s="29" t="s">
        <v>2285</v>
      </c>
      <c r="O175" s="38" t="s">
        <v>1779</v>
      </c>
      <c r="P175" s="38" t="s">
        <v>1780</v>
      </c>
      <c r="Q175" s="38" t="s">
        <v>2287</v>
      </c>
      <c r="R175" s="38"/>
      <c r="S175" s="48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30" ht="22.5" customHeight="1">
      <c r="A176" s="26">
        <v>3</v>
      </c>
      <c r="B176" s="26" t="s">
        <v>538</v>
      </c>
      <c r="C176" s="26">
        <v>32</v>
      </c>
      <c r="D176" s="29" t="s">
        <v>2553</v>
      </c>
      <c r="E176" s="31">
        <v>325</v>
      </c>
      <c r="F176" s="31" t="s">
        <v>2736</v>
      </c>
      <c r="G176" s="56" t="s">
        <v>2737</v>
      </c>
      <c r="H176" s="50" t="s">
        <v>2897</v>
      </c>
      <c r="I176" s="40"/>
      <c r="J176" s="42" t="s">
        <v>2898</v>
      </c>
      <c r="K176" s="48"/>
      <c r="L176" s="38" t="s">
        <v>1719</v>
      </c>
      <c r="M176" s="38" t="s">
        <v>2828</v>
      </c>
      <c r="N176" s="29" t="s">
        <v>2829</v>
      </c>
      <c r="O176" s="38" t="s">
        <v>2830</v>
      </c>
      <c r="P176" s="38" t="s">
        <v>1724</v>
      </c>
      <c r="Q176" s="38" t="s">
        <v>2833</v>
      </c>
      <c r="R176" s="38" t="s">
        <v>2902</v>
      </c>
      <c r="S176" s="48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ht="22.5" customHeight="1">
      <c r="A177" s="134">
        <v>3</v>
      </c>
      <c r="B177" s="134" t="s">
        <v>538</v>
      </c>
      <c r="C177" s="134">
        <v>32</v>
      </c>
      <c r="D177" s="135" t="s">
        <v>2553</v>
      </c>
      <c r="E177" s="126">
        <v>325</v>
      </c>
      <c r="F177" s="126" t="s">
        <v>2736</v>
      </c>
      <c r="G177" s="137" t="s">
        <v>2737</v>
      </c>
      <c r="H177" s="136" t="s">
        <v>2914</v>
      </c>
      <c r="I177" s="129"/>
      <c r="J177" s="128" t="s">
        <v>2916</v>
      </c>
      <c r="K177" s="142"/>
      <c r="L177" s="141" t="s">
        <v>1719</v>
      </c>
      <c r="M177" s="141" t="s">
        <v>2828</v>
      </c>
      <c r="N177" s="135" t="s">
        <v>2829</v>
      </c>
      <c r="O177" s="141" t="s">
        <v>2830</v>
      </c>
      <c r="P177" s="141" t="s">
        <v>1724</v>
      </c>
      <c r="Q177" s="141" t="s">
        <v>2833</v>
      </c>
      <c r="R177" s="38" t="s">
        <v>2929</v>
      </c>
      <c r="S177" s="142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5"/>
    </row>
    <row r="178" spans="1:30" ht="22.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38" t="s">
        <v>2841</v>
      </c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5"/>
    </row>
    <row r="179" spans="1:30" ht="22.5" customHeight="1">
      <c r="A179" s="26">
        <v>3</v>
      </c>
      <c r="B179" s="26" t="s">
        <v>538</v>
      </c>
      <c r="C179" s="26">
        <v>32</v>
      </c>
      <c r="D179" s="29" t="s">
        <v>2553</v>
      </c>
      <c r="E179" s="31">
        <v>325</v>
      </c>
      <c r="F179" s="31" t="s">
        <v>2736</v>
      </c>
      <c r="G179" s="56" t="s">
        <v>2737</v>
      </c>
      <c r="H179" s="50" t="s">
        <v>2948</v>
      </c>
      <c r="I179" s="40"/>
      <c r="J179" s="42" t="s">
        <v>2951</v>
      </c>
      <c r="K179" s="48"/>
      <c r="L179" s="38" t="s">
        <v>1719</v>
      </c>
      <c r="M179" s="38" t="s">
        <v>2828</v>
      </c>
      <c r="N179" s="29" t="s">
        <v>2829</v>
      </c>
      <c r="O179" s="38" t="s">
        <v>2830</v>
      </c>
      <c r="P179" s="38" t="s">
        <v>1724</v>
      </c>
      <c r="Q179" s="38" t="s">
        <v>2833</v>
      </c>
      <c r="R179" s="38" t="s">
        <v>2953</v>
      </c>
      <c r="S179" s="48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ht="22.5" customHeight="1">
      <c r="A180" s="134">
        <v>3</v>
      </c>
      <c r="B180" s="134" t="s">
        <v>538</v>
      </c>
      <c r="C180" s="134">
        <v>32</v>
      </c>
      <c r="D180" s="135" t="s">
        <v>2553</v>
      </c>
      <c r="E180" s="126">
        <v>325</v>
      </c>
      <c r="F180" s="126" t="s">
        <v>2736</v>
      </c>
      <c r="G180" s="137" t="s">
        <v>2737</v>
      </c>
      <c r="H180" s="136" t="s">
        <v>2961</v>
      </c>
      <c r="I180" s="129"/>
      <c r="J180" s="128" t="s">
        <v>2964</v>
      </c>
      <c r="K180" s="142"/>
      <c r="L180" s="141" t="s">
        <v>1719</v>
      </c>
      <c r="M180" s="141" t="s">
        <v>2828</v>
      </c>
      <c r="N180" s="135" t="s">
        <v>2829</v>
      </c>
      <c r="O180" s="141" t="s">
        <v>2830</v>
      </c>
      <c r="P180" s="141" t="s">
        <v>1724</v>
      </c>
      <c r="Q180" s="141" t="s">
        <v>2833</v>
      </c>
      <c r="R180" s="38" t="s">
        <v>2929</v>
      </c>
      <c r="S180" s="142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5"/>
    </row>
    <row r="181" spans="1:30" ht="22.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38" t="s">
        <v>2841</v>
      </c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5"/>
    </row>
    <row r="182" spans="1:30" ht="22.5" customHeight="1">
      <c r="A182" s="26">
        <v>3</v>
      </c>
      <c r="B182" s="26" t="s">
        <v>538</v>
      </c>
      <c r="C182" s="26">
        <v>32</v>
      </c>
      <c r="D182" s="29" t="s">
        <v>2553</v>
      </c>
      <c r="E182" s="31">
        <v>325</v>
      </c>
      <c r="F182" s="31" t="s">
        <v>1642</v>
      </c>
      <c r="G182" s="28" t="s">
        <v>2737</v>
      </c>
      <c r="H182" s="50" t="s">
        <v>2281</v>
      </c>
      <c r="I182" s="40" t="s">
        <v>2282</v>
      </c>
      <c r="J182" s="42" t="s">
        <v>2894</v>
      </c>
      <c r="K182" s="48"/>
      <c r="L182" s="38" t="s">
        <v>1777</v>
      </c>
      <c r="M182" s="38" t="s">
        <v>2284</v>
      </c>
      <c r="N182" s="29" t="s">
        <v>2285</v>
      </c>
      <c r="O182" s="38" t="s">
        <v>1779</v>
      </c>
      <c r="P182" s="38" t="s">
        <v>1780</v>
      </c>
      <c r="Q182" s="38" t="s">
        <v>2287</v>
      </c>
      <c r="R182" s="42"/>
      <c r="S182" s="48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ht="22.5" customHeight="1">
      <c r="A183" s="26">
        <v>3</v>
      </c>
      <c r="B183" s="26" t="s">
        <v>538</v>
      </c>
      <c r="C183" s="26">
        <v>32</v>
      </c>
      <c r="D183" s="29" t="s">
        <v>2553</v>
      </c>
      <c r="E183" s="31">
        <v>325</v>
      </c>
      <c r="F183" s="31" t="s">
        <v>2736</v>
      </c>
      <c r="G183" s="56" t="s">
        <v>2737</v>
      </c>
      <c r="H183" s="50" t="s">
        <v>2488</v>
      </c>
      <c r="I183" s="40" t="s">
        <v>2489</v>
      </c>
      <c r="J183" s="42" t="s">
        <v>2993</v>
      </c>
      <c r="K183" s="48"/>
      <c r="L183" s="38" t="s">
        <v>2490</v>
      </c>
      <c r="M183" s="38" t="s">
        <v>2493</v>
      </c>
      <c r="N183" s="29" t="s">
        <v>2495</v>
      </c>
      <c r="O183" s="38" t="s">
        <v>2497</v>
      </c>
      <c r="P183" s="38" t="s">
        <v>2499</v>
      </c>
      <c r="Q183" s="38" t="s">
        <v>2500</v>
      </c>
      <c r="R183" s="38" t="s">
        <v>2501</v>
      </c>
      <c r="S183" s="48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ht="22.5" customHeight="1">
      <c r="A184" s="26">
        <v>3</v>
      </c>
      <c r="B184" s="26" t="s">
        <v>538</v>
      </c>
      <c r="C184" s="26">
        <v>32</v>
      </c>
      <c r="D184" s="29" t="s">
        <v>2553</v>
      </c>
      <c r="E184" s="31">
        <v>325</v>
      </c>
      <c r="F184" s="31" t="s">
        <v>2736</v>
      </c>
      <c r="G184" s="56" t="s">
        <v>2737</v>
      </c>
      <c r="H184" s="50" t="s">
        <v>2998</v>
      </c>
      <c r="I184" s="52" t="s">
        <v>2759</v>
      </c>
      <c r="J184" s="61" t="s">
        <v>2999</v>
      </c>
      <c r="K184" s="48"/>
      <c r="L184" s="38" t="s">
        <v>3000</v>
      </c>
      <c r="M184" s="38" t="s">
        <v>3001</v>
      </c>
      <c r="N184" s="29" t="s">
        <v>3002</v>
      </c>
      <c r="O184" s="38" t="s">
        <v>3003</v>
      </c>
      <c r="P184" s="38"/>
      <c r="Q184" s="38"/>
      <c r="R184" s="38"/>
      <c r="S184" s="48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ht="22.5" customHeight="1">
      <c r="A185" s="26">
        <v>3</v>
      </c>
      <c r="B185" s="26" t="s">
        <v>538</v>
      </c>
      <c r="C185" s="26">
        <v>32</v>
      </c>
      <c r="D185" s="29" t="s">
        <v>2553</v>
      </c>
      <c r="E185" s="31">
        <v>326</v>
      </c>
      <c r="F185" s="31" t="s">
        <v>3010</v>
      </c>
      <c r="G185" s="56" t="s">
        <v>3012</v>
      </c>
      <c r="H185" s="66" t="s">
        <v>3013</v>
      </c>
      <c r="I185" s="29" t="s">
        <v>3014</v>
      </c>
      <c r="J185" s="85" t="s">
        <v>3015</v>
      </c>
      <c r="K185" s="38" t="s">
        <v>3016</v>
      </c>
      <c r="L185" s="31" t="s">
        <v>1027</v>
      </c>
      <c r="M185" s="31" t="s">
        <v>1032</v>
      </c>
      <c r="N185" s="52" t="s">
        <v>1033</v>
      </c>
      <c r="O185" s="42" t="s">
        <v>1034</v>
      </c>
      <c r="P185" s="42" t="s">
        <v>1035</v>
      </c>
      <c r="Q185" s="42" t="s">
        <v>1037</v>
      </c>
      <c r="R185" s="38"/>
      <c r="S185" s="48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ht="22.5" customHeight="1">
      <c r="A186" s="26">
        <v>3</v>
      </c>
      <c r="B186" s="26" t="s">
        <v>538</v>
      </c>
      <c r="C186" s="26">
        <v>32</v>
      </c>
      <c r="D186" s="29" t="s">
        <v>2553</v>
      </c>
      <c r="E186" s="31">
        <v>320</v>
      </c>
      <c r="F186" s="31"/>
      <c r="G186" s="29"/>
      <c r="H186" s="59" t="s">
        <v>3024</v>
      </c>
      <c r="I186" s="40"/>
      <c r="J186" s="42" t="s">
        <v>3026</v>
      </c>
      <c r="K186" s="48"/>
      <c r="L186" s="38" t="s">
        <v>1829</v>
      </c>
      <c r="M186" s="38" t="s">
        <v>3028</v>
      </c>
      <c r="N186" s="29" t="s">
        <v>2890</v>
      </c>
      <c r="O186" s="38" t="s">
        <v>2225</v>
      </c>
      <c r="P186" s="38" t="s">
        <v>2227</v>
      </c>
      <c r="Q186" s="38" t="s">
        <v>2241</v>
      </c>
      <c r="R186" s="38"/>
      <c r="S186" s="48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ht="22.5" customHeight="1">
      <c r="A187" s="26">
        <v>3</v>
      </c>
      <c r="B187" s="26" t="s">
        <v>538</v>
      </c>
      <c r="C187" s="26">
        <v>32</v>
      </c>
      <c r="D187" s="29" t="s">
        <v>2553</v>
      </c>
      <c r="E187" s="31">
        <v>320</v>
      </c>
      <c r="F187" s="31"/>
      <c r="G187" s="29"/>
      <c r="H187" s="59" t="s">
        <v>3031</v>
      </c>
      <c r="I187" s="40"/>
      <c r="J187" s="42"/>
      <c r="K187" s="48"/>
      <c r="L187" s="38" t="s">
        <v>3032</v>
      </c>
      <c r="M187" s="85" t="s">
        <v>3033</v>
      </c>
      <c r="N187" s="29" t="s">
        <v>3035</v>
      </c>
      <c r="O187" s="38" t="s">
        <v>2225</v>
      </c>
      <c r="P187" s="38" t="s">
        <v>2227</v>
      </c>
      <c r="Q187" s="38" t="s">
        <v>2273</v>
      </c>
      <c r="R187" s="38"/>
      <c r="S187" s="48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ht="22.5" customHeight="1">
      <c r="A188" s="26">
        <v>3</v>
      </c>
      <c r="B188" s="26" t="s">
        <v>538</v>
      </c>
      <c r="C188" s="26">
        <v>32</v>
      </c>
      <c r="D188" s="29" t="s">
        <v>2553</v>
      </c>
      <c r="E188" s="31">
        <v>320</v>
      </c>
      <c r="F188" s="31"/>
      <c r="G188" s="29"/>
      <c r="H188" s="59" t="s">
        <v>3043</v>
      </c>
      <c r="I188" s="40"/>
      <c r="J188" s="42"/>
      <c r="K188" s="48"/>
      <c r="L188" s="38" t="s">
        <v>3045</v>
      </c>
      <c r="M188" s="85" t="s">
        <v>3048</v>
      </c>
      <c r="N188" s="29" t="s">
        <v>3056</v>
      </c>
      <c r="O188" s="38" t="s">
        <v>2225</v>
      </c>
      <c r="P188" s="38" t="s">
        <v>2227</v>
      </c>
      <c r="Q188" s="38" t="s">
        <v>2338</v>
      </c>
      <c r="R188" s="38"/>
      <c r="S188" s="48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ht="22.5" customHeight="1">
      <c r="A189" s="26">
        <v>3</v>
      </c>
      <c r="B189" s="26" t="s">
        <v>538</v>
      </c>
      <c r="C189" s="26">
        <v>32</v>
      </c>
      <c r="D189" s="29" t="s">
        <v>2553</v>
      </c>
      <c r="E189" s="31">
        <v>320</v>
      </c>
      <c r="F189" s="31"/>
      <c r="G189" s="29"/>
      <c r="H189" s="59" t="s">
        <v>3068</v>
      </c>
      <c r="I189" s="40"/>
      <c r="J189" s="42"/>
      <c r="K189" s="48"/>
      <c r="L189" s="38" t="s">
        <v>3045</v>
      </c>
      <c r="M189" s="85" t="s">
        <v>3048</v>
      </c>
      <c r="N189" s="29" t="s">
        <v>3071</v>
      </c>
      <c r="O189" s="38" t="s">
        <v>2225</v>
      </c>
      <c r="P189" s="38" t="s">
        <v>2227</v>
      </c>
      <c r="Q189" s="38" t="s">
        <v>3073</v>
      </c>
      <c r="R189" s="38"/>
      <c r="S189" s="48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ht="22.5" customHeight="1">
      <c r="A190" s="26">
        <v>3</v>
      </c>
      <c r="B190" s="26" t="s">
        <v>538</v>
      </c>
      <c r="C190" s="26">
        <v>32</v>
      </c>
      <c r="D190" s="29" t="s">
        <v>2553</v>
      </c>
      <c r="E190" s="31">
        <v>320</v>
      </c>
      <c r="F190" s="31"/>
      <c r="G190" s="29"/>
      <c r="H190" s="50" t="s">
        <v>3078</v>
      </c>
      <c r="I190" s="40"/>
      <c r="J190" s="42" t="s">
        <v>3080</v>
      </c>
      <c r="K190" s="48"/>
      <c r="L190" s="38" t="s">
        <v>3045</v>
      </c>
      <c r="M190" s="85" t="s">
        <v>3048</v>
      </c>
      <c r="N190" s="29" t="s">
        <v>3082</v>
      </c>
      <c r="O190" s="38" t="s">
        <v>2225</v>
      </c>
      <c r="P190" s="38" t="s">
        <v>2227</v>
      </c>
      <c r="Q190" s="38" t="s">
        <v>2241</v>
      </c>
      <c r="R190" s="38"/>
      <c r="S190" s="48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ht="22.5" customHeight="1">
      <c r="A191" s="26">
        <v>3</v>
      </c>
      <c r="B191" s="26" t="s">
        <v>538</v>
      </c>
      <c r="C191" s="26">
        <v>33</v>
      </c>
      <c r="D191" s="29" t="s">
        <v>3087</v>
      </c>
      <c r="E191" s="31">
        <v>331</v>
      </c>
      <c r="F191" s="31" t="s">
        <v>3089</v>
      </c>
      <c r="G191" s="29"/>
      <c r="H191" s="66" t="s">
        <v>3091</v>
      </c>
      <c r="I191" s="29"/>
      <c r="J191" s="31" t="s">
        <v>1162</v>
      </c>
      <c r="K191" s="48"/>
      <c r="L191" s="38"/>
      <c r="M191" s="38"/>
      <c r="N191" s="29"/>
      <c r="O191" s="38" t="s">
        <v>3094</v>
      </c>
      <c r="P191" s="38" t="s">
        <v>3096</v>
      </c>
      <c r="Q191" s="48" t="s">
        <v>3097</v>
      </c>
      <c r="R191" s="38" t="s">
        <v>3098</v>
      </c>
      <c r="S191" s="44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ht="22.5" customHeight="1">
      <c r="A192" s="26">
        <v>3</v>
      </c>
      <c r="B192" s="26" t="s">
        <v>538</v>
      </c>
      <c r="C192" s="26">
        <v>33</v>
      </c>
      <c r="D192" s="29" t="s">
        <v>3087</v>
      </c>
      <c r="E192" s="31">
        <v>331</v>
      </c>
      <c r="F192" s="31" t="s">
        <v>3089</v>
      </c>
      <c r="G192" s="29"/>
      <c r="H192" s="66" t="s">
        <v>3100</v>
      </c>
      <c r="I192" s="29"/>
      <c r="J192" s="31" t="s">
        <v>1162</v>
      </c>
      <c r="K192" s="48"/>
      <c r="L192" s="38"/>
      <c r="M192" s="38"/>
      <c r="N192" s="29"/>
      <c r="O192" s="38" t="s">
        <v>3094</v>
      </c>
      <c r="P192" s="38" t="s">
        <v>3096</v>
      </c>
      <c r="Q192" s="48" t="s">
        <v>3097</v>
      </c>
      <c r="R192" s="38" t="s">
        <v>3105</v>
      </c>
      <c r="S192" s="44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ht="22.5" customHeight="1">
      <c r="A193" s="26">
        <v>3</v>
      </c>
      <c r="B193" s="26" t="s">
        <v>538</v>
      </c>
      <c r="C193" s="26">
        <v>33</v>
      </c>
      <c r="D193" s="29" t="s">
        <v>3087</v>
      </c>
      <c r="E193" s="31">
        <v>331</v>
      </c>
      <c r="F193" s="31" t="s">
        <v>3089</v>
      </c>
      <c r="G193" s="29"/>
      <c r="H193" s="33" t="s">
        <v>3108</v>
      </c>
      <c r="I193" s="29"/>
      <c r="J193" s="31" t="s">
        <v>1162</v>
      </c>
      <c r="K193" s="48"/>
      <c r="L193" s="38"/>
      <c r="M193" s="38"/>
      <c r="N193" s="29"/>
      <c r="O193" s="38" t="s">
        <v>3094</v>
      </c>
      <c r="P193" s="38" t="s">
        <v>3096</v>
      </c>
      <c r="Q193" s="48" t="s">
        <v>3097</v>
      </c>
      <c r="R193" s="38"/>
      <c r="S193" s="44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ht="22.5" customHeight="1">
      <c r="A194" s="134">
        <v>3</v>
      </c>
      <c r="B194" s="134" t="s">
        <v>538</v>
      </c>
      <c r="C194" s="134">
        <v>33</v>
      </c>
      <c r="D194" s="135" t="s">
        <v>3087</v>
      </c>
      <c r="E194" s="126">
        <v>331</v>
      </c>
      <c r="F194" s="126" t="s">
        <v>3089</v>
      </c>
      <c r="G194" s="135"/>
      <c r="H194" s="139" t="s">
        <v>3123</v>
      </c>
      <c r="I194" s="135" t="s">
        <v>3125</v>
      </c>
      <c r="J194" s="141"/>
      <c r="K194" s="142"/>
      <c r="L194" s="141" t="s">
        <v>3126</v>
      </c>
      <c r="M194" s="141" t="s">
        <v>3127</v>
      </c>
      <c r="N194" s="135" t="s">
        <v>3128</v>
      </c>
      <c r="O194" s="141" t="s">
        <v>3094</v>
      </c>
      <c r="P194" s="141" t="s">
        <v>3096</v>
      </c>
      <c r="Q194" s="142" t="s">
        <v>3129</v>
      </c>
      <c r="R194" s="38" t="s">
        <v>3130</v>
      </c>
      <c r="S194" s="131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5"/>
    </row>
    <row r="195" spans="1:30" ht="22.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38" t="s">
        <v>3135</v>
      </c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5"/>
    </row>
    <row r="196" spans="1:30" ht="22.5" customHeight="1">
      <c r="A196" s="134">
        <v>3</v>
      </c>
      <c r="B196" s="134" t="s">
        <v>538</v>
      </c>
      <c r="C196" s="134">
        <v>33</v>
      </c>
      <c r="D196" s="135" t="s">
        <v>3087</v>
      </c>
      <c r="E196" s="126">
        <v>331</v>
      </c>
      <c r="F196" s="126" t="s">
        <v>3089</v>
      </c>
      <c r="G196" s="135"/>
      <c r="H196" s="139" t="s">
        <v>3138</v>
      </c>
      <c r="I196" s="135" t="s">
        <v>3139</v>
      </c>
      <c r="J196" s="141"/>
      <c r="K196" s="142"/>
      <c r="L196" s="141" t="s">
        <v>3126</v>
      </c>
      <c r="M196" s="141" t="s">
        <v>3127</v>
      </c>
      <c r="N196" s="135" t="s">
        <v>3128</v>
      </c>
      <c r="O196" s="141" t="s">
        <v>3094</v>
      </c>
      <c r="P196" s="141" t="s">
        <v>3096</v>
      </c>
      <c r="Q196" s="142" t="s">
        <v>3129</v>
      </c>
      <c r="R196" s="38" t="s">
        <v>3144</v>
      </c>
      <c r="S196" s="131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5"/>
    </row>
    <row r="197" spans="1:30" ht="22.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38" t="s">
        <v>3135</v>
      </c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5"/>
    </row>
    <row r="198" spans="1:30" ht="22.5" customHeight="1">
      <c r="A198" s="26">
        <v>3</v>
      </c>
      <c r="B198" s="26" t="s">
        <v>538</v>
      </c>
      <c r="C198" s="26">
        <v>33</v>
      </c>
      <c r="D198" s="29" t="s">
        <v>3087</v>
      </c>
      <c r="E198" s="31">
        <v>331</v>
      </c>
      <c r="F198" s="31" t="s">
        <v>3147</v>
      </c>
      <c r="G198" s="56" t="s">
        <v>3148</v>
      </c>
      <c r="H198" s="88" t="s">
        <v>3149</v>
      </c>
      <c r="I198" s="29" t="s">
        <v>3150</v>
      </c>
      <c r="J198" s="38" t="s">
        <v>3151</v>
      </c>
      <c r="K198" s="48"/>
      <c r="L198" s="38" t="s">
        <v>3126</v>
      </c>
      <c r="M198" s="38" t="s">
        <v>3152</v>
      </c>
      <c r="N198" s="29"/>
      <c r="O198" s="38" t="s">
        <v>3094</v>
      </c>
      <c r="P198" s="38" t="s">
        <v>3096</v>
      </c>
      <c r="Q198" s="38" t="s">
        <v>3153</v>
      </c>
      <c r="R198" s="38" t="s">
        <v>3155</v>
      </c>
      <c r="S198" s="48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1:30" ht="22.5" customHeight="1">
      <c r="A199" s="26">
        <v>3</v>
      </c>
      <c r="B199" s="26" t="s">
        <v>538</v>
      </c>
      <c r="C199" s="26">
        <v>33</v>
      </c>
      <c r="D199" s="29" t="s">
        <v>3087</v>
      </c>
      <c r="E199" s="31">
        <v>331</v>
      </c>
      <c r="F199" s="31" t="s">
        <v>3089</v>
      </c>
      <c r="G199" s="29"/>
      <c r="H199" s="66" t="s">
        <v>3157</v>
      </c>
      <c r="I199" s="29"/>
      <c r="J199" s="38"/>
      <c r="K199" s="48"/>
      <c r="L199" s="38" t="s">
        <v>3126</v>
      </c>
      <c r="M199" s="38" t="s">
        <v>3127</v>
      </c>
      <c r="N199" s="28" t="s">
        <v>3158</v>
      </c>
      <c r="O199" s="38" t="s">
        <v>3094</v>
      </c>
      <c r="P199" s="38" t="s">
        <v>3096</v>
      </c>
      <c r="Q199" s="38" t="s">
        <v>3153</v>
      </c>
      <c r="R199" s="38"/>
      <c r="S199" s="44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1:30" ht="22.5" customHeight="1">
      <c r="A200" s="26">
        <v>3</v>
      </c>
      <c r="B200" s="26" t="s">
        <v>538</v>
      </c>
      <c r="C200" s="26">
        <v>33</v>
      </c>
      <c r="D200" s="29" t="s">
        <v>3087</v>
      </c>
      <c r="E200" s="31">
        <v>331</v>
      </c>
      <c r="F200" s="31" t="s">
        <v>3089</v>
      </c>
      <c r="G200" s="29"/>
      <c r="H200" s="59" t="s">
        <v>3159</v>
      </c>
      <c r="I200" s="40"/>
      <c r="J200" s="38" t="s">
        <v>808</v>
      </c>
      <c r="K200" s="48"/>
      <c r="L200" s="38" t="s">
        <v>722</v>
      </c>
      <c r="M200" s="42" t="s">
        <v>724</v>
      </c>
      <c r="N200" s="28" t="s">
        <v>726</v>
      </c>
      <c r="O200" s="38" t="s">
        <v>809</v>
      </c>
      <c r="P200" s="38" t="s">
        <v>810</v>
      </c>
      <c r="Q200" s="38" t="s">
        <v>811</v>
      </c>
      <c r="R200" s="38"/>
      <c r="S200" s="44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1:30" ht="22.5" customHeight="1">
      <c r="A201" s="26">
        <v>3</v>
      </c>
      <c r="B201" s="26" t="s">
        <v>538</v>
      </c>
      <c r="C201" s="26">
        <v>33</v>
      </c>
      <c r="D201" s="29" t="s">
        <v>3087</v>
      </c>
      <c r="E201" s="31">
        <v>331</v>
      </c>
      <c r="F201" s="31" t="s">
        <v>3089</v>
      </c>
      <c r="G201" s="29"/>
      <c r="H201" s="66" t="s">
        <v>3162</v>
      </c>
      <c r="I201" s="29" t="s">
        <v>3163</v>
      </c>
      <c r="J201" s="85" t="s">
        <v>1202</v>
      </c>
      <c r="K201" s="48"/>
      <c r="L201" s="38" t="s">
        <v>565</v>
      </c>
      <c r="M201" s="42" t="s">
        <v>566</v>
      </c>
      <c r="N201" s="29" t="s">
        <v>794</v>
      </c>
      <c r="O201" s="38" t="s">
        <v>569</v>
      </c>
      <c r="P201" s="38" t="s">
        <v>571</v>
      </c>
      <c r="Q201" s="38" t="s">
        <v>795</v>
      </c>
      <c r="R201" s="38" t="s">
        <v>796</v>
      </c>
      <c r="S201" s="44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1:30" ht="22.5" customHeight="1">
      <c r="A202" s="26">
        <v>3</v>
      </c>
      <c r="B202" s="26" t="s">
        <v>538</v>
      </c>
      <c r="C202" s="26">
        <v>33</v>
      </c>
      <c r="D202" s="29" t="s">
        <v>3087</v>
      </c>
      <c r="E202" s="31">
        <v>331</v>
      </c>
      <c r="F202" s="31" t="s">
        <v>3089</v>
      </c>
      <c r="G202" s="29"/>
      <c r="H202" s="66" t="s">
        <v>3166</v>
      </c>
      <c r="I202" s="29"/>
      <c r="J202" s="38" t="s">
        <v>887</v>
      </c>
      <c r="K202" s="48"/>
      <c r="L202" s="38" t="s">
        <v>565</v>
      </c>
      <c r="M202" s="42" t="s">
        <v>566</v>
      </c>
      <c r="N202" s="29" t="s">
        <v>794</v>
      </c>
      <c r="O202" s="38" t="s">
        <v>569</v>
      </c>
      <c r="P202" s="38" t="s">
        <v>571</v>
      </c>
      <c r="Q202" s="38" t="s">
        <v>795</v>
      </c>
      <c r="R202" s="38" t="s">
        <v>910</v>
      </c>
      <c r="S202" s="44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1:30" ht="22.5" customHeight="1">
      <c r="A203" s="26">
        <v>3</v>
      </c>
      <c r="B203" s="26" t="s">
        <v>538</v>
      </c>
      <c r="C203" s="26">
        <v>33</v>
      </c>
      <c r="D203" s="29" t="s">
        <v>3087</v>
      </c>
      <c r="E203" s="31">
        <v>331</v>
      </c>
      <c r="F203" s="31" t="s">
        <v>3089</v>
      </c>
      <c r="G203" s="29"/>
      <c r="H203" s="66" t="s">
        <v>3169</v>
      </c>
      <c r="I203" s="28" t="s">
        <v>550</v>
      </c>
      <c r="J203" s="38" t="s">
        <v>552</v>
      </c>
      <c r="K203" s="48"/>
      <c r="L203" s="38" t="s">
        <v>565</v>
      </c>
      <c r="M203" s="42" t="s">
        <v>566</v>
      </c>
      <c r="N203" s="28" t="s">
        <v>567</v>
      </c>
      <c r="O203" s="38" t="s">
        <v>569</v>
      </c>
      <c r="P203" s="38" t="s">
        <v>571</v>
      </c>
      <c r="Q203" s="38" t="s">
        <v>573</v>
      </c>
      <c r="R203" s="38"/>
      <c r="S203" s="44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1:30" ht="22.5" customHeight="1">
      <c r="A204" s="26">
        <v>3</v>
      </c>
      <c r="B204" s="26" t="s">
        <v>538</v>
      </c>
      <c r="C204" s="26">
        <v>33</v>
      </c>
      <c r="D204" s="29" t="s">
        <v>3087</v>
      </c>
      <c r="E204" s="31">
        <v>331</v>
      </c>
      <c r="F204" s="31" t="s">
        <v>3089</v>
      </c>
      <c r="G204" s="29"/>
      <c r="H204" s="109" t="s">
        <v>3173</v>
      </c>
      <c r="I204" s="29" t="s">
        <v>3177</v>
      </c>
      <c r="J204" s="38"/>
      <c r="K204" s="36"/>
      <c r="L204" s="38"/>
      <c r="M204" s="38"/>
      <c r="N204" s="29"/>
      <c r="O204" s="38" t="s">
        <v>3094</v>
      </c>
      <c r="P204" s="38" t="s">
        <v>3096</v>
      </c>
      <c r="Q204" s="48" t="s">
        <v>3178</v>
      </c>
      <c r="R204" s="38"/>
      <c r="S204" s="44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1:30" ht="22.5" customHeight="1">
      <c r="A205" s="26">
        <v>3</v>
      </c>
      <c r="B205" s="26" t="s">
        <v>538</v>
      </c>
      <c r="C205" s="26">
        <v>33</v>
      </c>
      <c r="D205" s="29" t="s">
        <v>3087</v>
      </c>
      <c r="E205" s="31">
        <v>331</v>
      </c>
      <c r="F205" s="31" t="s">
        <v>3089</v>
      </c>
      <c r="G205" s="29"/>
      <c r="H205" s="109" t="s">
        <v>3182</v>
      </c>
      <c r="I205" s="29" t="s">
        <v>3177</v>
      </c>
      <c r="J205" s="38"/>
      <c r="K205" s="36"/>
      <c r="L205" s="38"/>
      <c r="M205" s="38"/>
      <c r="N205" s="29"/>
      <c r="O205" s="38" t="s">
        <v>3094</v>
      </c>
      <c r="P205" s="38" t="s">
        <v>3096</v>
      </c>
      <c r="Q205" s="48" t="s">
        <v>3178</v>
      </c>
      <c r="R205" s="38"/>
      <c r="S205" s="44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1:30" ht="22.5" customHeight="1">
      <c r="A206" s="26">
        <v>3</v>
      </c>
      <c r="B206" s="26" t="s">
        <v>538</v>
      </c>
      <c r="C206" s="26">
        <v>33</v>
      </c>
      <c r="D206" s="29" t="s">
        <v>3087</v>
      </c>
      <c r="E206" s="31">
        <v>331</v>
      </c>
      <c r="F206" s="31" t="s">
        <v>3147</v>
      </c>
      <c r="G206" s="56" t="s">
        <v>3148</v>
      </c>
      <c r="H206" s="66" t="s">
        <v>3183</v>
      </c>
      <c r="I206" s="29"/>
      <c r="J206" s="38" t="s">
        <v>3184</v>
      </c>
      <c r="K206" s="48"/>
      <c r="L206" s="38" t="s">
        <v>1428</v>
      </c>
      <c r="M206" s="38" t="s">
        <v>1435</v>
      </c>
      <c r="N206" s="28" t="s">
        <v>1436</v>
      </c>
      <c r="O206" s="38" t="s">
        <v>986</v>
      </c>
      <c r="P206" s="38" t="s">
        <v>987</v>
      </c>
      <c r="Q206" s="38" t="s">
        <v>1641</v>
      </c>
      <c r="R206" s="38"/>
      <c r="S206" s="48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1:30" ht="22.5" customHeight="1">
      <c r="A207" s="26">
        <v>3</v>
      </c>
      <c r="B207" s="26" t="s">
        <v>538</v>
      </c>
      <c r="C207" s="26">
        <v>33</v>
      </c>
      <c r="D207" s="29" t="s">
        <v>3087</v>
      </c>
      <c r="E207" s="31">
        <v>332</v>
      </c>
      <c r="F207" s="31" t="s">
        <v>3187</v>
      </c>
      <c r="G207" s="28" t="s">
        <v>3148</v>
      </c>
      <c r="H207" s="66" t="s">
        <v>3188</v>
      </c>
      <c r="I207" s="29" t="s">
        <v>3014</v>
      </c>
      <c r="J207" s="38" t="s">
        <v>3016</v>
      </c>
      <c r="K207" s="38" t="s">
        <v>3016</v>
      </c>
      <c r="L207" s="31" t="s">
        <v>1027</v>
      </c>
      <c r="M207" s="31" t="s">
        <v>1032</v>
      </c>
      <c r="N207" s="52" t="s">
        <v>1033</v>
      </c>
      <c r="O207" s="42" t="s">
        <v>1034</v>
      </c>
      <c r="P207" s="42" t="s">
        <v>1035</v>
      </c>
      <c r="Q207" s="42" t="s">
        <v>1037</v>
      </c>
      <c r="R207" s="38"/>
      <c r="S207" s="48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1:30" ht="22.5" customHeight="1">
      <c r="A208" s="26">
        <v>3</v>
      </c>
      <c r="B208" s="26" t="s">
        <v>538</v>
      </c>
      <c r="C208" s="26">
        <v>33</v>
      </c>
      <c r="D208" s="29" t="s">
        <v>3087</v>
      </c>
      <c r="E208" s="31">
        <v>332</v>
      </c>
      <c r="F208" s="31" t="s">
        <v>3187</v>
      </c>
      <c r="G208" s="28" t="s">
        <v>3148</v>
      </c>
      <c r="H208" s="66" t="s">
        <v>3189</v>
      </c>
      <c r="I208" s="29"/>
      <c r="J208" s="38" t="s">
        <v>3190</v>
      </c>
      <c r="K208" s="48"/>
      <c r="L208" s="38" t="s">
        <v>3191</v>
      </c>
      <c r="M208" s="38" t="s">
        <v>3192</v>
      </c>
      <c r="N208" s="28" t="s">
        <v>3193</v>
      </c>
      <c r="O208" s="38" t="s">
        <v>986</v>
      </c>
      <c r="P208" s="38" t="s">
        <v>987</v>
      </c>
      <c r="Q208" s="38" t="s">
        <v>3194</v>
      </c>
      <c r="R208" s="38"/>
      <c r="S208" s="48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1:30" ht="22.5" customHeight="1">
      <c r="A209" s="26">
        <v>3</v>
      </c>
      <c r="B209" s="26" t="s">
        <v>538</v>
      </c>
      <c r="C209" s="26">
        <v>33</v>
      </c>
      <c r="D209" s="29" t="s">
        <v>3087</v>
      </c>
      <c r="E209" s="31">
        <v>332</v>
      </c>
      <c r="F209" s="31" t="s">
        <v>3187</v>
      </c>
      <c r="G209" s="28" t="s">
        <v>3148</v>
      </c>
      <c r="H209" s="59" t="s">
        <v>3197</v>
      </c>
      <c r="I209" s="40"/>
      <c r="J209" s="38" t="s">
        <v>808</v>
      </c>
      <c r="K209" s="48"/>
      <c r="L209" s="38" t="s">
        <v>722</v>
      </c>
      <c r="M209" s="42" t="s">
        <v>724</v>
      </c>
      <c r="N209" s="28" t="s">
        <v>726</v>
      </c>
      <c r="O209" s="38" t="s">
        <v>809</v>
      </c>
      <c r="P209" s="38" t="s">
        <v>810</v>
      </c>
      <c r="Q209" s="38" t="s">
        <v>811</v>
      </c>
      <c r="R209" s="38"/>
      <c r="S209" s="48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1:30" ht="22.5" customHeight="1">
      <c r="A210" s="26">
        <v>3</v>
      </c>
      <c r="B210" s="26" t="s">
        <v>538</v>
      </c>
      <c r="C210" s="26">
        <v>33</v>
      </c>
      <c r="D210" s="29" t="s">
        <v>3087</v>
      </c>
      <c r="E210" s="31">
        <v>332</v>
      </c>
      <c r="F210" s="31" t="s">
        <v>3187</v>
      </c>
      <c r="G210" s="28" t="s">
        <v>3148</v>
      </c>
      <c r="H210" s="66" t="s">
        <v>3198</v>
      </c>
      <c r="I210" s="29" t="s">
        <v>3199</v>
      </c>
      <c r="J210" s="85" t="s">
        <v>1202</v>
      </c>
      <c r="K210" s="48"/>
      <c r="L210" s="38" t="s">
        <v>565</v>
      </c>
      <c r="M210" s="42" t="s">
        <v>566</v>
      </c>
      <c r="N210" s="29" t="s">
        <v>794</v>
      </c>
      <c r="O210" s="38" t="s">
        <v>569</v>
      </c>
      <c r="P210" s="38" t="s">
        <v>571</v>
      </c>
      <c r="Q210" s="38" t="s">
        <v>795</v>
      </c>
      <c r="R210" s="38" t="s">
        <v>796</v>
      </c>
      <c r="S210" s="48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1:30" ht="22.5" customHeight="1">
      <c r="A211" s="26">
        <v>3</v>
      </c>
      <c r="B211" s="26" t="s">
        <v>538</v>
      </c>
      <c r="C211" s="26">
        <v>33</v>
      </c>
      <c r="D211" s="29" t="s">
        <v>3087</v>
      </c>
      <c r="E211" s="31">
        <v>332</v>
      </c>
      <c r="F211" s="31" t="s">
        <v>3187</v>
      </c>
      <c r="G211" s="28" t="s">
        <v>3148</v>
      </c>
      <c r="H211" s="66" t="s">
        <v>3202</v>
      </c>
      <c r="I211" s="29"/>
      <c r="J211" s="38" t="s">
        <v>887</v>
      </c>
      <c r="K211" s="48"/>
      <c r="L211" s="38" t="s">
        <v>565</v>
      </c>
      <c r="M211" s="42" t="s">
        <v>566</v>
      </c>
      <c r="N211" s="29" t="s">
        <v>794</v>
      </c>
      <c r="O211" s="38" t="s">
        <v>569</v>
      </c>
      <c r="P211" s="38" t="s">
        <v>571</v>
      </c>
      <c r="Q211" s="38" t="s">
        <v>795</v>
      </c>
      <c r="R211" s="38" t="s">
        <v>910</v>
      </c>
      <c r="S211" s="48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1:30" ht="22.5" customHeight="1">
      <c r="A212" s="26">
        <v>3</v>
      </c>
      <c r="B212" s="26" t="s">
        <v>538</v>
      </c>
      <c r="C212" s="26">
        <v>33</v>
      </c>
      <c r="D212" s="29" t="s">
        <v>3087</v>
      </c>
      <c r="E212" s="31">
        <v>332</v>
      </c>
      <c r="F212" s="31" t="s">
        <v>3187</v>
      </c>
      <c r="G212" s="28" t="s">
        <v>3148</v>
      </c>
      <c r="H212" s="66" t="s">
        <v>3203</v>
      </c>
      <c r="I212" s="28" t="s">
        <v>550</v>
      </c>
      <c r="J212" s="38" t="s">
        <v>552</v>
      </c>
      <c r="K212" s="48"/>
      <c r="L212" s="38" t="s">
        <v>565</v>
      </c>
      <c r="M212" s="42" t="s">
        <v>566</v>
      </c>
      <c r="N212" s="28" t="s">
        <v>567</v>
      </c>
      <c r="O212" s="38" t="s">
        <v>569</v>
      </c>
      <c r="P212" s="38" t="s">
        <v>571</v>
      </c>
      <c r="Q212" s="38" t="s">
        <v>573</v>
      </c>
      <c r="R212" s="38"/>
      <c r="S212" s="48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1:30" ht="22.5" customHeight="1">
      <c r="A213" s="26">
        <v>3</v>
      </c>
      <c r="B213" s="26" t="s">
        <v>538</v>
      </c>
      <c r="C213" s="26">
        <v>33</v>
      </c>
      <c r="D213" s="29" t="s">
        <v>3087</v>
      </c>
      <c r="E213" s="31">
        <v>332</v>
      </c>
      <c r="F213" s="31" t="s">
        <v>3187</v>
      </c>
      <c r="G213" s="28" t="s">
        <v>3148</v>
      </c>
      <c r="H213" s="88" t="s">
        <v>3206</v>
      </c>
      <c r="I213" s="29"/>
      <c r="J213" s="38" t="s">
        <v>3151</v>
      </c>
      <c r="K213" s="48"/>
      <c r="L213" s="38"/>
      <c r="M213" s="38"/>
      <c r="N213" s="29"/>
      <c r="O213" s="38" t="s">
        <v>3207</v>
      </c>
      <c r="P213" s="38"/>
      <c r="Q213" s="38"/>
      <c r="R213" s="38"/>
      <c r="S213" s="48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1:30" ht="22.5" customHeight="1">
      <c r="A214" s="26">
        <v>3</v>
      </c>
      <c r="B214" s="26" t="s">
        <v>538</v>
      </c>
      <c r="C214" s="26">
        <v>33</v>
      </c>
      <c r="D214" s="29" t="s">
        <v>3087</v>
      </c>
      <c r="E214" s="31">
        <v>332</v>
      </c>
      <c r="F214" s="31" t="s">
        <v>3187</v>
      </c>
      <c r="G214" s="28" t="s">
        <v>3148</v>
      </c>
      <c r="H214" s="33" t="s">
        <v>3208</v>
      </c>
      <c r="I214" s="29" t="s">
        <v>3209</v>
      </c>
      <c r="J214" s="38"/>
      <c r="K214" s="48"/>
      <c r="L214" s="38" t="s">
        <v>1905</v>
      </c>
      <c r="M214" s="38" t="s">
        <v>1906</v>
      </c>
      <c r="N214" s="28" t="s">
        <v>1909</v>
      </c>
      <c r="O214" s="38" t="s">
        <v>3094</v>
      </c>
      <c r="P214" s="38" t="s">
        <v>3096</v>
      </c>
      <c r="Q214" s="48" t="s">
        <v>3210</v>
      </c>
      <c r="R214" s="38" t="s">
        <v>3211</v>
      </c>
      <c r="S214" s="44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1:30" ht="22.5" customHeight="1">
      <c r="A215" s="134">
        <v>3</v>
      </c>
      <c r="B215" s="134" t="s">
        <v>538</v>
      </c>
      <c r="C215" s="134">
        <v>33</v>
      </c>
      <c r="D215" s="135" t="s">
        <v>3087</v>
      </c>
      <c r="E215" s="126">
        <v>332</v>
      </c>
      <c r="F215" s="126" t="s">
        <v>3187</v>
      </c>
      <c r="G215" s="135" t="s">
        <v>3148</v>
      </c>
      <c r="H215" s="139" t="s">
        <v>3216</v>
      </c>
      <c r="I215" s="135" t="s">
        <v>3209</v>
      </c>
      <c r="J215" s="141"/>
      <c r="K215" s="142"/>
      <c r="L215" s="141" t="s">
        <v>1905</v>
      </c>
      <c r="M215" s="141" t="s">
        <v>1906</v>
      </c>
      <c r="N215" s="135" t="s">
        <v>1909</v>
      </c>
      <c r="O215" s="141" t="s">
        <v>3094</v>
      </c>
      <c r="P215" s="141" t="s">
        <v>3096</v>
      </c>
      <c r="Q215" s="142" t="s">
        <v>3210</v>
      </c>
      <c r="R215" s="38" t="s">
        <v>3211</v>
      </c>
      <c r="S215" s="131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5"/>
    </row>
    <row r="216" spans="1:30" ht="22.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38" t="s">
        <v>3221</v>
      </c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5"/>
    </row>
    <row r="217" spans="1:30" ht="22.5" customHeight="1">
      <c r="A217" s="26">
        <v>3</v>
      </c>
      <c r="B217" s="26" t="s">
        <v>538</v>
      </c>
      <c r="C217" s="26">
        <v>33</v>
      </c>
      <c r="D217" s="29" t="s">
        <v>3087</v>
      </c>
      <c r="E217" s="31">
        <v>332</v>
      </c>
      <c r="F217" s="31" t="s">
        <v>3187</v>
      </c>
      <c r="G217" s="28" t="s">
        <v>3148</v>
      </c>
      <c r="H217" s="33" t="s">
        <v>3222</v>
      </c>
      <c r="I217" s="29" t="s">
        <v>3209</v>
      </c>
      <c r="J217" s="38"/>
      <c r="K217" s="48"/>
      <c r="L217" s="38" t="s">
        <v>1905</v>
      </c>
      <c r="M217" s="38" t="s">
        <v>1906</v>
      </c>
      <c r="N217" s="28" t="s">
        <v>1909</v>
      </c>
      <c r="O217" s="38" t="s">
        <v>3094</v>
      </c>
      <c r="P217" s="38" t="s">
        <v>3096</v>
      </c>
      <c r="Q217" s="48" t="s">
        <v>3210</v>
      </c>
      <c r="R217" s="38" t="s">
        <v>3223</v>
      </c>
      <c r="S217" s="44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1:30" ht="22.5" customHeight="1">
      <c r="A218" s="26">
        <v>3</v>
      </c>
      <c r="B218" s="26" t="s">
        <v>538</v>
      </c>
      <c r="C218" s="26">
        <v>33</v>
      </c>
      <c r="D218" s="29" t="s">
        <v>3087</v>
      </c>
      <c r="E218" s="31">
        <v>332</v>
      </c>
      <c r="F218" s="31" t="s">
        <v>3187</v>
      </c>
      <c r="G218" s="28" t="s">
        <v>3148</v>
      </c>
      <c r="H218" s="33" t="s">
        <v>3226</v>
      </c>
      <c r="I218" s="29" t="s">
        <v>3209</v>
      </c>
      <c r="J218" s="38"/>
      <c r="K218" s="48"/>
      <c r="L218" s="38" t="s">
        <v>1905</v>
      </c>
      <c r="M218" s="38" t="s">
        <v>1906</v>
      </c>
      <c r="N218" s="28" t="s">
        <v>1909</v>
      </c>
      <c r="O218" s="38" t="s">
        <v>3094</v>
      </c>
      <c r="P218" s="38" t="s">
        <v>3096</v>
      </c>
      <c r="Q218" s="48" t="s">
        <v>3210</v>
      </c>
      <c r="R218" s="38" t="s">
        <v>3227</v>
      </c>
      <c r="S218" s="44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1:30" ht="22.5" customHeight="1">
      <c r="A219" s="26">
        <v>3</v>
      </c>
      <c r="B219" s="26" t="s">
        <v>538</v>
      </c>
      <c r="C219" s="26">
        <v>33</v>
      </c>
      <c r="D219" s="29" t="s">
        <v>3087</v>
      </c>
      <c r="E219" s="31">
        <v>332</v>
      </c>
      <c r="F219" s="31" t="s">
        <v>3187</v>
      </c>
      <c r="G219" s="28" t="s">
        <v>3148</v>
      </c>
      <c r="H219" s="33" t="s">
        <v>3228</v>
      </c>
      <c r="I219" s="29" t="s">
        <v>3209</v>
      </c>
      <c r="J219" s="38"/>
      <c r="K219" s="48"/>
      <c r="L219" s="38" t="s">
        <v>1905</v>
      </c>
      <c r="M219" s="38" t="s">
        <v>1906</v>
      </c>
      <c r="N219" s="28" t="s">
        <v>1909</v>
      </c>
      <c r="O219" s="38" t="s">
        <v>3094</v>
      </c>
      <c r="P219" s="38" t="s">
        <v>3096</v>
      </c>
      <c r="Q219" s="48" t="s">
        <v>3210</v>
      </c>
      <c r="R219" s="38" t="s">
        <v>3229</v>
      </c>
      <c r="S219" s="44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1:30" ht="22.5" customHeight="1">
      <c r="A220" s="26">
        <v>3</v>
      </c>
      <c r="B220" s="26" t="s">
        <v>538</v>
      </c>
      <c r="C220" s="26">
        <v>33</v>
      </c>
      <c r="D220" s="29" t="s">
        <v>3087</v>
      </c>
      <c r="E220" s="31">
        <v>333</v>
      </c>
      <c r="F220" s="31" t="s">
        <v>3232</v>
      </c>
      <c r="G220" s="29"/>
      <c r="H220" s="66" t="s">
        <v>3157</v>
      </c>
      <c r="I220" s="29"/>
      <c r="J220" s="38"/>
      <c r="K220" s="48"/>
      <c r="L220" s="38"/>
      <c r="M220" s="38"/>
      <c r="N220" s="29"/>
      <c r="O220" s="38" t="s">
        <v>3094</v>
      </c>
      <c r="P220" s="38" t="s">
        <v>3233</v>
      </c>
      <c r="Q220" s="48" t="s">
        <v>3153</v>
      </c>
      <c r="R220" s="38"/>
      <c r="S220" s="44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1:30" ht="22.5" customHeight="1">
      <c r="A221" s="26">
        <v>3</v>
      </c>
      <c r="B221" s="26" t="s">
        <v>538</v>
      </c>
      <c r="C221" s="26">
        <v>33</v>
      </c>
      <c r="D221" s="29" t="s">
        <v>3087</v>
      </c>
      <c r="E221" s="31">
        <v>333</v>
      </c>
      <c r="F221" s="31" t="s">
        <v>3232</v>
      </c>
      <c r="G221" s="28" t="s">
        <v>3148</v>
      </c>
      <c r="H221" s="66" t="s">
        <v>3234</v>
      </c>
      <c r="I221" s="29" t="s">
        <v>3014</v>
      </c>
      <c r="J221" s="38" t="s">
        <v>3016</v>
      </c>
      <c r="K221" s="38" t="s">
        <v>3016</v>
      </c>
      <c r="L221" s="31" t="s">
        <v>1027</v>
      </c>
      <c r="M221" s="31" t="s">
        <v>1032</v>
      </c>
      <c r="N221" s="52" t="s">
        <v>1033</v>
      </c>
      <c r="O221" s="42" t="s">
        <v>1034</v>
      </c>
      <c r="P221" s="42" t="s">
        <v>1035</v>
      </c>
      <c r="Q221" s="42" t="s">
        <v>1037</v>
      </c>
      <c r="R221" s="38"/>
      <c r="S221" s="48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1:30" ht="22.5" customHeight="1">
      <c r="A222" s="26">
        <v>3</v>
      </c>
      <c r="B222" s="26" t="s">
        <v>538</v>
      </c>
      <c r="C222" s="26">
        <v>33</v>
      </c>
      <c r="D222" s="29" t="s">
        <v>3087</v>
      </c>
      <c r="E222" s="31">
        <v>333</v>
      </c>
      <c r="F222" s="31" t="s">
        <v>3232</v>
      </c>
      <c r="G222" s="110"/>
      <c r="H222" s="59" t="s">
        <v>3237</v>
      </c>
      <c r="I222" s="40"/>
      <c r="J222" s="38" t="s">
        <v>808</v>
      </c>
      <c r="K222" s="48"/>
      <c r="L222" s="38" t="s">
        <v>722</v>
      </c>
      <c r="M222" s="42" t="s">
        <v>724</v>
      </c>
      <c r="N222" s="28" t="s">
        <v>726</v>
      </c>
      <c r="O222" s="38" t="s">
        <v>809</v>
      </c>
      <c r="P222" s="38" t="s">
        <v>810</v>
      </c>
      <c r="Q222" s="38" t="s">
        <v>811</v>
      </c>
      <c r="R222" s="38"/>
      <c r="S222" s="48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1:30" ht="22.5" customHeight="1">
      <c r="A223" s="26">
        <v>3</v>
      </c>
      <c r="B223" s="26" t="s">
        <v>538</v>
      </c>
      <c r="C223" s="26">
        <v>33</v>
      </c>
      <c r="D223" s="29" t="s">
        <v>3087</v>
      </c>
      <c r="E223" s="31">
        <v>333</v>
      </c>
      <c r="F223" s="31" t="s">
        <v>3232</v>
      </c>
      <c r="G223" s="110"/>
      <c r="H223" s="66" t="s">
        <v>3240</v>
      </c>
      <c r="I223" s="29" t="s">
        <v>3241</v>
      </c>
      <c r="J223" s="85" t="s">
        <v>1202</v>
      </c>
      <c r="K223" s="48"/>
      <c r="L223" s="38" t="s">
        <v>565</v>
      </c>
      <c r="M223" s="42" t="s">
        <v>566</v>
      </c>
      <c r="N223" s="29" t="s">
        <v>794</v>
      </c>
      <c r="O223" s="38" t="s">
        <v>569</v>
      </c>
      <c r="P223" s="38" t="s">
        <v>571</v>
      </c>
      <c r="Q223" s="38" t="s">
        <v>795</v>
      </c>
      <c r="R223" s="38" t="s">
        <v>796</v>
      </c>
      <c r="S223" s="48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1:30" ht="22.5" customHeight="1">
      <c r="A224" s="26">
        <v>3</v>
      </c>
      <c r="B224" s="26" t="s">
        <v>538</v>
      </c>
      <c r="C224" s="26">
        <v>33</v>
      </c>
      <c r="D224" s="29" t="s">
        <v>3087</v>
      </c>
      <c r="E224" s="31">
        <v>333</v>
      </c>
      <c r="F224" s="31" t="s">
        <v>3232</v>
      </c>
      <c r="G224" s="110"/>
      <c r="H224" s="66" t="s">
        <v>3243</v>
      </c>
      <c r="I224" s="29"/>
      <c r="J224" s="38" t="s">
        <v>887</v>
      </c>
      <c r="K224" s="48"/>
      <c r="L224" s="38" t="s">
        <v>565</v>
      </c>
      <c r="M224" s="42" t="s">
        <v>566</v>
      </c>
      <c r="N224" s="29" t="s">
        <v>794</v>
      </c>
      <c r="O224" s="38" t="s">
        <v>569</v>
      </c>
      <c r="P224" s="38" t="s">
        <v>571</v>
      </c>
      <c r="Q224" s="38" t="s">
        <v>795</v>
      </c>
      <c r="R224" s="38" t="s">
        <v>910</v>
      </c>
      <c r="S224" s="48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1:30" ht="22.5" customHeight="1">
      <c r="A225" s="26">
        <v>3</v>
      </c>
      <c r="B225" s="26" t="s">
        <v>538</v>
      </c>
      <c r="C225" s="26">
        <v>33</v>
      </c>
      <c r="D225" s="29" t="s">
        <v>3087</v>
      </c>
      <c r="E225" s="31">
        <v>333</v>
      </c>
      <c r="F225" s="31" t="s">
        <v>3232</v>
      </c>
      <c r="G225" s="110"/>
      <c r="H225" s="66" t="s">
        <v>3245</v>
      </c>
      <c r="I225" s="28" t="s">
        <v>550</v>
      </c>
      <c r="J225" s="38" t="s">
        <v>552</v>
      </c>
      <c r="K225" s="48"/>
      <c r="L225" s="38" t="s">
        <v>565</v>
      </c>
      <c r="M225" s="42" t="s">
        <v>566</v>
      </c>
      <c r="N225" s="28" t="s">
        <v>567</v>
      </c>
      <c r="O225" s="38" t="s">
        <v>569</v>
      </c>
      <c r="P225" s="38" t="s">
        <v>571</v>
      </c>
      <c r="Q225" s="38" t="s">
        <v>573</v>
      </c>
      <c r="R225" s="38"/>
      <c r="S225" s="48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1:30" ht="22.5" customHeight="1">
      <c r="A226" s="26">
        <v>3</v>
      </c>
      <c r="B226" s="26" t="s">
        <v>538</v>
      </c>
      <c r="C226" s="26">
        <v>33</v>
      </c>
      <c r="D226" s="29" t="s">
        <v>3087</v>
      </c>
      <c r="E226" s="31">
        <v>333</v>
      </c>
      <c r="F226" s="31" t="s">
        <v>3232</v>
      </c>
      <c r="G226" s="28" t="s">
        <v>3148</v>
      </c>
      <c r="H226" s="59" t="s">
        <v>3248</v>
      </c>
      <c r="I226" s="111"/>
      <c r="J226" s="42" t="s">
        <v>3151</v>
      </c>
      <c r="K226" s="48"/>
      <c r="L226" s="42"/>
      <c r="M226" s="42"/>
      <c r="N226" s="40"/>
      <c r="O226" s="42" t="s">
        <v>3207</v>
      </c>
      <c r="P226" s="42"/>
      <c r="Q226" s="42"/>
      <c r="R226" s="38"/>
      <c r="S226" s="48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1:30" ht="22.5" customHeight="1">
      <c r="A227" s="26">
        <v>3</v>
      </c>
      <c r="B227" s="26" t="s">
        <v>538</v>
      </c>
      <c r="C227" s="26">
        <v>33</v>
      </c>
      <c r="D227" s="29" t="s">
        <v>3087</v>
      </c>
      <c r="E227" s="31">
        <v>333</v>
      </c>
      <c r="F227" s="31" t="s">
        <v>3232</v>
      </c>
      <c r="G227" s="28" t="s">
        <v>3148</v>
      </c>
      <c r="H227" s="59" t="s">
        <v>3252</v>
      </c>
      <c r="I227" s="40"/>
      <c r="J227" s="42" t="s">
        <v>3253</v>
      </c>
      <c r="K227" s="48"/>
      <c r="L227" s="42"/>
      <c r="M227" s="42"/>
      <c r="N227" s="40"/>
      <c r="O227" s="42" t="s">
        <v>3254</v>
      </c>
      <c r="P227" s="42"/>
      <c r="Q227" s="42"/>
      <c r="R227" s="38"/>
      <c r="S227" s="48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1:30" ht="22.5" customHeight="1">
      <c r="A228" s="26">
        <v>3</v>
      </c>
      <c r="B228" s="26" t="s">
        <v>538</v>
      </c>
      <c r="C228" s="26">
        <v>33</v>
      </c>
      <c r="D228" s="29" t="s">
        <v>3087</v>
      </c>
      <c r="E228" s="31">
        <v>334</v>
      </c>
      <c r="F228" s="31" t="s">
        <v>3255</v>
      </c>
      <c r="G228" s="110"/>
      <c r="H228" s="66" t="s">
        <v>3256</v>
      </c>
      <c r="I228" s="29" t="s">
        <v>3014</v>
      </c>
      <c r="J228" s="38" t="s">
        <v>3016</v>
      </c>
      <c r="K228" s="38" t="s">
        <v>3016</v>
      </c>
      <c r="L228" s="31" t="s">
        <v>1027</v>
      </c>
      <c r="M228" s="31" t="s">
        <v>1032</v>
      </c>
      <c r="N228" s="52" t="s">
        <v>1033</v>
      </c>
      <c r="O228" s="42" t="s">
        <v>1034</v>
      </c>
      <c r="P228" s="42" t="s">
        <v>1035</v>
      </c>
      <c r="Q228" s="42" t="s">
        <v>1037</v>
      </c>
      <c r="R228" s="38"/>
      <c r="S228" s="48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1:30" ht="22.5" customHeight="1">
      <c r="A229" s="26">
        <v>3</v>
      </c>
      <c r="B229" s="26" t="s">
        <v>538</v>
      </c>
      <c r="C229" s="26">
        <v>33</v>
      </c>
      <c r="D229" s="29" t="s">
        <v>3087</v>
      </c>
      <c r="E229" s="31">
        <v>334</v>
      </c>
      <c r="F229" s="31" t="s">
        <v>3255</v>
      </c>
      <c r="G229" s="110"/>
      <c r="H229" s="59" t="s">
        <v>3259</v>
      </c>
      <c r="I229" s="40"/>
      <c r="J229" s="38" t="s">
        <v>808</v>
      </c>
      <c r="K229" s="48"/>
      <c r="L229" s="38" t="s">
        <v>722</v>
      </c>
      <c r="M229" s="42" t="s">
        <v>724</v>
      </c>
      <c r="N229" s="28" t="s">
        <v>726</v>
      </c>
      <c r="O229" s="38" t="s">
        <v>809</v>
      </c>
      <c r="P229" s="38" t="s">
        <v>810</v>
      </c>
      <c r="Q229" s="38" t="s">
        <v>811</v>
      </c>
      <c r="R229" s="38"/>
      <c r="S229" s="48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1:30" ht="22.5" customHeight="1">
      <c r="A230" s="26">
        <v>3</v>
      </c>
      <c r="B230" s="26" t="s">
        <v>538</v>
      </c>
      <c r="C230" s="26">
        <v>33</v>
      </c>
      <c r="D230" s="29" t="s">
        <v>3087</v>
      </c>
      <c r="E230" s="31">
        <v>334</v>
      </c>
      <c r="F230" s="31" t="s">
        <v>3255</v>
      </c>
      <c r="G230" s="110"/>
      <c r="H230" s="66" t="s">
        <v>3262</v>
      </c>
      <c r="I230" s="29" t="s">
        <v>3263</v>
      </c>
      <c r="J230" s="85" t="s">
        <v>1202</v>
      </c>
      <c r="K230" s="48"/>
      <c r="L230" s="38" t="s">
        <v>565</v>
      </c>
      <c r="M230" s="42" t="s">
        <v>566</v>
      </c>
      <c r="N230" s="29" t="s">
        <v>794</v>
      </c>
      <c r="O230" s="38" t="s">
        <v>569</v>
      </c>
      <c r="P230" s="38" t="s">
        <v>571</v>
      </c>
      <c r="Q230" s="38" t="s">
        <v>795</v>
      </c>
      <c r="R230" s="38" t="s">
        <v>796</v>
      </c>
      <c r="S230" s="48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1:30" ht="22.5" customHeight="1">
      <c r="A231" s="26">
        <v>3</v>
      </c>
      <c r="B231" s="26" t="s">
        <v>538</v>
      </c>
      <c r="C231" s="26">
        <v>33</v>
      </c>
      <c r="D231" s="29" t="s">
        <v>3087</v>
      </c>
      <c r="E231" s="31">
        <v>334</v>
      </c>
      <c r="F231" s="31" t="s">
        <v>3255</v>
      </c>
      <c r="G231" s="110"/>
      <c r="H231" s="66" t="s">
        <v>3264</v>
      </c>
      <c r="I231" s="29"/>
      <c r="J231" s="38" t="s">
        <v>887</v>
      </c>
      <c r="K231" s="48"/>
      <c r="L231" s="38" t="s">
        <v>565</v>
      </c>
      <c r="M231" s="42" t="s">
        <v>566</v>
      </c>
      <c r="N231" s="29" t="s">
        <v>794</v>
      </c>
      <c r="O231" s="38" t="s">
        <v>569</v>
      </c>
      <c r="P231" s="38" t="s">
        <v>571</v>
      </c>
      <c r="Q231" s="38" t="s">
        <v>795</v>
      </c>
      <c r="R231" s="38" t="s">
        <v>910</v>
      </c>
      <c r="S231" s="48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1:30" ht="22.5" customHeight="1">
      <c r="A232" s="26">
        <v>3</v>
      </c>
      <c r="B232" s="26" t="s">
        <v>538</v>
      </c>
      <c r="C232" s="26">
        <v>33</v>
      </c>
      <c r="D232" s="29" t="s">
        <v>3087</v>
      </c>
      <c r="E232" s="31">
        <v>334</v>
      </c>
      <c r="F232" s="31" t="s">
        <v>3255</v>
      </c>
      <c r="G232" s="110"/>
      <c r="H232" s="66" t="s">
        <v>3266</v>
      </c>
      <c r="I232" s="28" t="s">
        <v>550</v>
      </c>
      <c r="J232" s="38" t="s">
        <v>552</v>
      </c>
      <c r="K232" s="48"/>
      <c r="L232" s="38" t="s">
        <v>565</v>
      </c>
      <c r="M232" s="42" t="s">
        <v>566</v>
      </c>
      <c r="N232" s="28" t="s">
        <v>567</v>
      </c>
      <c r="O232" s="38" t="s">
        <v>569</v>
      </c>
      <c r="P232" s="38" t="s">
        <v>571</v>
      </c>
      <c r="Q232" s="38" t="s">
        <v>573</v>
      </c>
      <c r="R232" s="38"/>
      <c r="S232" s="48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1:30" ht="22.5" customHeight="1">
      <c r="A233" s="26">
        <v>3</v>
      </c>
      <c r="B233" s="26" t="s">
        <v>538</v>
      </c>
      <c r="C233" s="26">
        <v>33</v>
      </c>
      <c r="D233" s="29" t="s">
        <v>3087</v>
      </c>
      <c r="E233" s="31">
        <v>334</v>
      </c>
      <c r="F233" s="31" t="s">
        <v>3255</v>
      </c>
      <c r="G233" s="28" t="s">
        <v>3148</v>
      </c>
      <c r="H233" s="66" t="s">
        <v>3268</v>
      </c>
      <c r="I233" s="112"/>
      <c r="J233" s="38" t="s">
        <v>3151</v>
      </c>
      <c r="K233" s="48"/>
      <c r="L233" s="38"/>
      <c r="M233" s="38"/>
      <c r="N233" s="29"/>
      <c r="O233" s="38" t="s">
        <v>3207</v>
      </c>
      <c r="P233" s="38"/>
      <c r="Q233" s="38"/>
      <c r="R233" s="38"/>
      <c r="S233" s="48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1:30" ht="22.5" customHeight="1">
      <c r="A234" s="26">
        <v>3</v>
      </c>
      <c r="B234" s="26" t="s">
        <v>538</v>
      </c>
      <c r="C234" s="26">
        <v>33</v>
      </c>
      <c r="D234" s="29" t="s">
        <v>3087</v>
      </c>
      <c r="E234" s="31">
        <v>334</v>
      </c>
      <c r="F234" s="31" t="s">
        <v>3255</v>
      </c>
      <c r="G234" s="28" t="s">
        <v>3148</v>
      </c>
      <c r="H234" s="50" t="s">
        <v>3271</v>
      </c>
      <c r="I234" s="40"/>
      <c r="J234" s="42" t="s">
        <v>3253</v>
      </c>
      <c r="K234" s="48"/>
      <c r="L234" s="42"/>
      <c r="M234" s="42"/>
      <c r="N234" s="40"/>
      <c r="O234" s="42" t="s">
        <v>3254</v>
      </c>
      <c r="P234" s="42"/>
      <c r="Q234" s="42"/>
      <c r="R234" s="38"/>
      <c r="S234" s="48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1:30" ht="22.5" customHeight="1">
      <c r="A235" s="26">
        <v>3</v>
      </c>
      <c r="B235" s="26" t="s">
        <v>538</v>
      </c>
      <c r="C235" s="26">
        <v>33</v>
      </c>
      <c r="D235" s="29" t="s">
        <v>3087</v>
      </c>
      <c r="E235" s="31">
        <v>334</v>
      </c>
      <c r="F235" s="31" t="s">
        <v>3255</v>
      </c>
      <c r="G235" s="29"/>
      <c r="H235" s="33" t="s">
        <v>3274</v>
      </c>
      <c r="I235" s="48"/>
      <c r="J235" s="38"/>
      <c r="K235" s="48"/>
      <c r="L235" s="38" t="s">
        <v>3275</v>
      </c>
      <c r="M235" s="38" t="s">
        <v>3274</v>
      </c>
      <c r="N235" s="29" t="s">
        <v>3276</v>
      </c>
      <c r="O235" s="38" t="s">
        <v>3094</v>
      </c>
      <c r="P235" s="38"/>
      <c r="Q235" s="48"/>
      <c r="R235" s="38"/>
      <c r="S235" s="44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1:30" ht="22.5" customHeight="1">
      <c r="A236" s="26">
        <v>3</v>
      </c>
      <c r="B236" s="26" t="s">
        <v>538</v>
      </c>
      <c r="C236" s="26">
        <v>33</v>
      </c>
      <c r="D236" s="29" t="s">
        <v>3087</v>
      </c>
      <c r="E236" s="31">
        <v>335</v>
      </c>
      <c r="F236" s="31" t="s">
        <v>3277</v>
      </c>
      <c r="G236" s="56" t="s">
        <v>3148</v>
      </c>
      <c r="H236" s="50" t="s">
        <v>3278</v>
      </c>
      <c r="I236" s="40"/>
      <c r="J236" s="42" t="s">
        <v>3151</v>
      </c>
      <c r="K236" s="48"/>
      <c r="L236" s="42"/>
      <c r="M236" s="42"/>
      <c r="N236" s="40"/>
      <c r="O236" s="42" t="s">
        <v>3207</v>
      </c>
      <c r="P236" s="42"/>
      <c r="Q236" s="42"/>
      <c r="R236" s="38"/>
      <c r="S236" s="48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1:30" ht="22.5" customHeight="1">
      <c r="A237" s="26">
        <v>3</v>
      </c>
      <c r="B237" s="26" t="s">
        <v>538</v>
      </c>
      <c r="C237" s="26">
        <v>33</v>
      </c>
      <c r="D237" s="29" t="s">
        <v>3087</v>
      </c>
      <c r="E237" s="31">
        <v>335</v>
      </c>
      <c r="F237" s="31" t="s">
        <v>3277</v>
      </c>
      <c r="G237" s="28" t="s">
        <v>3281</v>
      </c>
      <c r="H237" s="66" t="s">
        <v>3282</v>
      </c>
      <c r="I237" s="29" t="s">
        <v>3014</v>
      </c>
      <c r="J237" s="38" t="s">
        <v>3016</v>
      </c>
      <c r="K237" s="38" t="s">
        <v>3016</v>
      </c>
      <c r="L237" s="31" t="s">
        <v>1027</v>
      </c>
      <c r="M237" s="31" t="s">
        <v>1032</v>
      </c>
      <c r="N237" s="52" t="s">
        <v>1033</v>
      </c>
      <c r="O237" s="42" t="s">
        <v>1034</v>
      </c>
      <c r="P237" s="42" t="s">
        <v>1035</v>
      </c>
      <c r="Q237" s="42" t="s">
        <v>1037</v>
      </c>
      <c r="R237" s="38"/>
      <c r="S237" s="48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1:30" ht="22.5" customHeight="1">
      <c r="A238" s="26">
        <v>3</v>
      </c>
      <c r="B238" s="26" t="s">
        <v>538</v>
      </c>
      <c r="C238" s="26">
        <v>33</v>
      </c>
      <c r="D238" s="29" t="s">
        <v>3087</v>
      </c>
      <c r="E238" s="31">
        <v>335</v>
      </c>
      <c r="F238" s="31" t="s">
        <v>3277</v>
      </c>
      <c r="G238" s="56" t="s">
        <v>3148</v>
      </c>
      <c r="H238" s="59" t="s">
        <v>3283</v>
      </c>
      <c r="I238" s="40"/>
      <c r="J238" s="38" t="s">
        <v>808</v>
      </c>
      <c r="K238" s="48"/>
      <c r="L238" s="38" t="s">
        <v>722</v>
      </c>
      <c r="M238" s="42" t="s">
        <v>724</v>
      </c>
      <c r="N238" s="28" t="s">
        <v>726</v>
      </c>
      <c r="O238" s="38" t="s">
        <v>809</v>
      </c>
      <c r="P238" s="38" t="s">
        <v>810</v>
      </c>
      <c r="Q238" s="38" t="s">
        <v>811</v>
      </c>
      <c r="R238" s="38"/>
      <c r="S238" s="48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1:30" ht="22.5" customHeight="1">
      <c r="A239" s="26">
        <v>3</v>
      </c>
      <c r="B239" s="26" t="s">
        <v>538</v>
      </c>
      <c r="C239" s="26">
        <v>33</v>
      </c>
      <c r="D239" s="29" t="s">
        <v>3087</v>
      </c>
      <c r="E239" s="31">
        <v>335</v>
      </c>
      <c r="F239" s="31" t="s">
        <v>3277</v>
      </c>
      <c r="G239" s="56" t="s">
        <v>3148</v>
      </c>
      <c r="H239" s="66" t="s">
        <v>3286</v>
      </c>
      <c r="I239" s="29" t="s">
        <v>3287</v>
      </c>
      <c r="J239" s="85" t="s">
        <v>1202</v>
      </c>
      <c r="K239" s="48"/>
      <c r="L239" s="38" t="s">
        <v>565</v>
      </c>
      <c r="M239" s="42" t="s">
        <v>566</v>
      </c>
      <c r="N239" s="29" t="s">
        <v>794</v>
      </c>
      <c r="O239" s="38" t="s">
        <v>569</v>
      </c>
      <c r="P239" s="38" t="s">
        <v>571</v>
      </c>
      <c r="Q239" s="38" t="s">
        <v>795</v>
      </c>
      <c r="R239" s="38" t="s">
        <v>796</v>
      </c>
      <c r="S239" s="48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1:30" ht="22.5" customHeight="1">
      <c r="A240" s="26">
        <v>3</v>
      </c>
      <c r="B240" s="26" t="s">
        <v>538</v>
      </c>
      <c r="C240" s="26">
        <v>33</v>
      </c>
      <c r="D240" s="29" t="s">
        <v>3087</v>
      </c>
      <c r="E240" s="31">
        <v>335</v>
      </c>
      <c r="F240" s="31" t="s">
        <v>3277</v>
      </c>
      <c r="G240" s="56" t="s">
        <v>3148</v>
      </c>
      <c r="H240" s="66" t="s">
        <v>3288</v>
      </c>
      <c r="I240" s="29"/>
      <c r="J240" s="38" t="s">
        <v>887</v>
      </c>
      <c r="K240" s="48"/>
      <c r="L240" s="38" t="s">
        <v>565</v>
      </c>
      <c r="M240" s="42" t="s">
        <v>566</v>
      </c>
      <c r="N240" s="29" t="s">
        <v>794</v>
      </c>
      <c r="O240" s="38" t="s">
        <v>569</v>
      </c>
      <c r="P240" s="38" t="s">
        <v>571</v>
      </c>
      <c r="Q240" s="38" t="s">
        <v>795</v>
      </c>
      <c r="R240" s="38" t="s">
        <v>910</v>
      </c>
      <c r="S240" s="48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1:30" ht="22.5" customHeight="1">
      <c r="A241" s="26">
        <v>3</v>
      </c>
      <c r="B241" s="26" t="s">
        <v>538</v>
      </c>
      <c r="C241" s="26">
        <v>33</v>
      </c>
      <c r="D241" s="29" t="s">
        <v>3087</v>
      </c>
      <c r="E241" s="31">
        <v>335</v>
      </c>
      <c r="F241" s="31" t="s">
        <v>3277</v>
      </c>
      <c r="G241" s="56" t="s">
        <v>3148</v>
      </c>
      <c r="H241" s="66" t="s">
        <v>3291</v>
      </c>
      <c r="I241" s="28" t="s">
        <v>550</v>
      </c>
      <c r="J241" s="38" t="s">
        <v>552</v>
      </c>
      <c r="K241" s="48"/>
      <c r="L241" s="38" t="s">
        <v>565</v>
      </c>
      <c r="M241" s="42" t="s">
        <v>566</v>
      </c>
      <c r="N241" s="28" t="s">
        <v>567</v>
      </c>
      <c r="O241" s="38" t="s">
        <v>569</v>
      </c>
      <c r="P241" s="38" t="s">
        <v>571</v>
      </c>
      <c r="Q241" s="38" t="s">
        <v>573</v>
      </c>
      <c r="R241" s="38"/>
      <c r="S241" s="48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1:30" ht="22.5" customHeight="1">
      <c r="A242" s="26">
        <v>3</v>
      </c>
      <c r="B242" s="26" t="s">
        <v>538</v>
      </c>
      <c r="C242" s="26">
        <v>33</v>
      </c>
      <c r="D242" s="29" t="s">
        <v>3087</v>
      </c>
      <c r="E242" s="31">
        <v>335</v>
      </c>
      <c r="F242" s="31" t="s">
        <v>3277</v>
      </c>
      <c r="G242" s="56" t="s">
        <v>3148</v>
      </c>
      <c r="H242" s="59" t="s">
        <v>3292</v>
      </c>
      <c r="I242" s="40"/>
      <c r="J242" s="42" t="s">
        <v>3253</v>
      </c>
      <c r="K242" s="48"/>
      <c r="L242" s="42"/>
      <c r="M242" s="42"/>
      <c r="N242" s="40"/>
      <c r="O242" s="42" t="s">
        <v>3254</v>
      </c>
      <c r="P242" s="42"/>
      <c r="Q242" s="42"/>
      <c r="R242" s="38"/>
      <c r="S242" s="48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1:30" ht="22.5" customHeight="1">
      <c r="A243" s="26">
        <v>3</v>
      </c>
      <c r="B243" s="26" t="s">
        <v>538</v>
      </c>
      <c r="C243" s="26">
        <v>33</v>
      </c>
      <c r="D243" s="29" t="s">
        <v>3087</v>
      </c>
      <c r="E243" s="31">
        <v>336</v>
      </c>
      <c r="F243" s="31" t="s">
        <v>3147</v>
      </c>
      <c r="G243" s="110"/>
      <c r="H243" s="66" t="s">
        <v>3295</v>
      </c>
      <c r="I243" s="29" t="s">
        <v>3014</v>
      </c>
      <c r="J243" s="38" t="s">
        <v>3016</v>
      </c>
      <c r="K243" s="38" t="s">
        <v>3016</v>
      </c>
      <c r="L243" s="31" t="s">
        <v>1027</v>
      </c>
      <c r="M243" s="31" t="s">
        <v>1032</v>
      </c>
      <c r="N243" s="52" t="s">
        <v>1033</v>
      </c>
      <c r="O243" s="42" t="s">
        <v>1034</v>
      </c>
      <c r="P243" s="42" t="s">
        <v>1035</v>
      </c>
      <c r="Q243" s="42" t="s">
        <v>1037</v>
      </c>
      <c r="R243" s="38"/>
      <c r="S243" s="48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1:30" ht="22.5" customHeight="1">
      <c r="A244" s="26">
        <v>3</v>
      </c>
      <c r="B244" s="26" t="s">
        <v>538</v>
      </c>
      <c r="C244" s="26">
        <v>34</v>
      </c>
      <c r="D244" s="29" t="s">
        <v>3296</v>
      </c>
      <c r="E244" s="31">
        <v>312</v>
      </c>
      <c r="F244" s="31" t="s">
        <v>3297</v>
      </c>
      <c r="G244" s="32"/>
      <c r="H244" s="59" t="s">
        <v>3298</v>
      </c>
      <c r="I244" s="40"/>
      <c r="J244" s="42" t="s">
        <v>827</v>
      </c>
      <c r="K244" s="48"/>
      <c r="L244" s="38" t="s">
        <v>786</v>
      </c>
      <c r="M244" s="61" t="s">
        <v>787</v>
      </c>
      <c r="N244" s="29" t="s">
        <v>828</v>
      </c>
      <c r="O244" s="38" t="s">
        <v>789</v>
      </c>
      <c r="P244" s="38" t="s">
        <v>790</v>
      </c>
      <c r="Q244" s="38" t="s">
        <v>791</v>
      </c>
      <c r="R244" s="38"/>
      <c r="S244" s="48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1:30" ht="22.5" customHeight="1">
      <c r="A245" s="26">
        <v>3</v>
      </c>
      <c r="B245" s="26" t="s">
        <v>538</v>
      </c>
      <c r="C245" s="26">
        <v>34</v>
      </c>
      <c r="D245" s="29" t="s">
        <v>3296</v>
      </c>
      <c r="E245" s="31">
        <v>341</v>
      </c>
      <c r="F245" s="31" t="s">
        <v>3299</v>
      </c>
      <c r="G245" s="28" t="s">
        <v>3281</v>
      </c>
      <c r="H245" s="66" t="s">
        <v>3300</v>
      </c>
      <c r="I245" s="29"/>
      <c r="J245" s="38" t="s">
        <v>3151</v>
      </c>
      <c r="K245" s="48"/>
      <c r="L245" s="38"/>
      <c r="M245" s="38"/>
      <c r="N245" s="29"/>
      <c r="O245" s="38" t="s">
        <v>3207</v>
      </c>
      <c r="P245" s="38"/>
      <c r="Q245" s="38"/>
      <c r="R245" s="38"/>
      <c r="S245" s="48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1:30" ht="22.5" customHeight="1">
      <c r="A246" s="26">
        <v>3</v>
      </c>
      <c r="B246" s="26" t="s">
        <v>538</v>
      </c>
      <c r="C246" s="26">
        <v>34</v>
      </c>
      <c r="D246" s="29" t="s">
        <v>3296</v>
      </c>
      <c r="E246" s="31">
        <v>341</v>
      </c>
      <c r="F246" s="31" t="s">
        <v>3299</v>
      </c>
      <c r="G246" s="28" t="s">
        <v>3281</v>
      </c>
      <c r="H246" s="66" t="s">
        <v>3303</v>
      </c>
      <c r="I246" s="28" t="s">
        <v>550</v>
      </c>
      <c r="J246" s="38" t="s">
        <v>552</v>
      </c>
      <c r="K246" s="48"/>
      <c r="L246" s="38" t="s">
        <v>565</v>
      </c>
      <c r="M246" s="42" t="s">
        <v>566</v>
      </c>
      <c r="N246" s="28" t="s">
        <v>567</v>
      </c>
      <c r="O246" s="38" t="s">
        <v>569</v>
      </c>
      <c r="P246" s="38" t="s">
        <v>571</v>
      </c>
      <c r="Q246" s="38" t="s">
        <v>573</v>
      </c>
      <c r="R246" s="38"/>
      <c r="S246" s="48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1:30" ht="22.5" customHeight="1">
      <c r="A247" s="26">
        <v>3</v>
      </c>
      <c r="B247" s="26" t="s">
        <v>538</v>
      </c>
      <c r="C247" s="26">
        <v>34</v>
      </c>
      <c r="D247" s="29" t="s">
        <v>3296</v>
      </c>
      <c r="E247" s="31">
        <v>341</v>
      </c>
      <c r="F247" s="31" t="s">
        <v>3299</v>
      </c>
      <c r="G247" s="28" t="s">
        <v>3281</v>
      </c>
      <c r="H247" s="88" t="s">
        <v>3304</v>
      </c>
      <c r="I247" s="29"/>
      <c r="J247" s="38" t="s">
        <v>808</v>
      </c>
      <c r="K247" s="48"/>
      <c r="L247" s="38" t="s">
        <v>722</v>
      </c>
      <c r="M247" s="42" t="s">
        <v>724</v>
      </c>
      <c r="N247" s="28" t="s">
        <v>726</v>
      </c>
      <c r="O247" s="31" t="s">
        <v>809</v>
      </c>
      <c r="P247" s="38" t="s">
        <v>810</v>
      </c>
      <c r="Q247" s="38" t="s">
        <v>811</v>
      </c>
      <c r="R247" s="38"/>
      <c r="S247" s="48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1:30" ht="22.5" customHeight="1">
      <c r="A248" s="26">
        <v>3</v>
      </c>
      <c r="B248" s="26" t="s">
        <v>538</v>
      </c>
      <c r="C248" s="26">
        <v>34</v>
      </c>
      <c r="D248" s="29" t="s">
        <v>3296</v>
      </c>
      <c r="E248" s="31">
        <v>341</v>
      </c>
      <c r="F248" s="31" t="s">
        <v>3299</v>
      </c>
      <c r="G248" s="28" t="s">
        <v>3281</v>
      </c>
      <c r="H248" s="66" t="s">
        <v>3307</v>
      </c>
      <c r="I248" s="29" t="s">
        <v>3014</v>
      </c>
      <c r="J248" s="38" t="s">
        <v>3016</v>
      </c>
      <c r="K248" s="38" t="s">
        <v>3016</v>
      </c>
      <c r="L248" s="31" t="s">
        <v>1027</v>
      </c>
      <c r="M248" s="31" t="s">
        <v>1032</v>
      </c>
      <c r="N248" s="52" t="s">
        <v>1033</v>
      </c>
      <c r="O248" s="42" t="s">
        <v>1034</v>
      </c>
      <c r="P248" s="42" t="s">
        <v>1035</v>
      </c>
      <c r="Q248" s="42" t="s">
        <v>1037</v>
      </c>
      <c r="R248" s="38"/>
      <c r="S248" s="48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1:30" ht="22.5" customHeight="1">
      <c r="A249" s="26">
        <v>3</v>
      </c>
      <c r="B249" s="26" t="s">
        <v>538</v>
      </c>
      <c r="C249" s="26">
        <v>34</v>
      </c>
      <c r="D249" s="29" t="s">
        <v>3296</v>
      </c>
      <c r="E249" s="31">
        <v>341</v>
      </c>
      <c r="F249" s="31" t="s">
        <v>3299</v>
      </c>
      <c r="G249" s="28" t="s">
        <v>3281</v>
      </c>
      <c r="H249" s="66" t="s">
        <v>3308</v>
      </c>
      <c r="I249" s="29" t="s">
        <v>3309</v>
      </c>
      <c r="J249" s="85" t="s">
        <v>3310</v>
      </c>
      <c r="K249" s="48"/>
      <c r="L249" s="38" t="s">
        <v>565</v>
      </c>
      <c r="M249" s="42" t="s">
        <v>566</v>
      </c>
      <c r="N249" s="29" t="s">
        <v>794</v>
      </c>
      <c r="O249" s="38" t="s">
        <v>569</v>
      </c>
      <c r="P249" s="38" t="s">
        <v>571</v>
      </c>
      <c r="Q249" s="38" t="s">
        <v>795</v>
      </c>
      <c r="R249" s="38" t="s">
        <v>796</v>
      </c>
      <c r="S249" s="48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1:30" ht="22.5" customHeight="1">
      <c r="A250" s="26">
        <v>3</v>
      </c>
      <c r="B250" s="26" t="s">
        <v>538</v>
      </c>
      <c r="C250" s="26">
        <v>34</v>
      </c>
      <c r="D250" s="29" t="s">
        <v>3296</v>
      </c>
      <c r="E250" s="31">
        <v>341</v>
      </c>
      <c r="F250" s="31" t="s">
        <v>3299</v>
      </c>
      <c r="G250" s="28" t="s">
        <v>3281</v>
      </c>
      <c r="H250" s="66" t="s">
        <v>3313</v>
      </c>
      <c r="I250" s="29"/>
      <c r="J250" s="38"/>
      <c r="K250" s="48"/>
      <c r="L250" s="38" t="s">
        <v>1337</v>
      </c>
      <c r="M250" s="42" t="s">
        <v>1338</v>
      </c>
      <c r="N250" s="29" t="s">
        <v>1339</v>
      </c>
      <c r="O250" s="38" t="s">
        <v>789</v>
      </c>
      <c r="P250" s="38" t="s">
        <v>790</v>
      </c>
      <c r="Q250" s="38" t="s">
        <v>791</v>
      </c>
      <c r="R250" s="38"/>
      <c r="S250" s="48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1:30" ht="22.5" customHeight="1">
      <c r="A251" s="26">
        <v>3</v>
      </c>
      <c r="B251" s="26" t="s">
        <v>538</v>
      </c>
      <c r="C251" s="26">
        <v>34</v>
      </c>
      <c r="D251" s="29" t="s">
        <v>3296</v>
      </c>
      <c r="E251" s="31">
        <v>341</v>
      </c>
      <c r="F251" s="31" t="s">
        <v>3299</v>
      </c>
      <c r="G251" s="28" t="s">
        <v>3281</v>
      </c>
      <c r="H251" s="66" t="s">
        <v>3314</v>
      </c>
      <c r="I251" s="29"/>
      <c r="J251" s="38" t="s">
        <v>887</v>
      </c>
      <c r="K251" s="48"/>
      <c r="L251" s="38" t="s">
        <v>565</v>
      </c>
      <c r="M251" s="42" t="s">
        <v>566</v>
      </c>
      <c r="N251" s="29" t="s">
        <v>794</v>
      </c>
      <c r="O251" s="38" t="s">
        <v>569</v>
      </c>
      <c r="P251" s="38" t="s">
        <v>571</v>
      </c>
      <c r="Q251" s="38" t="s">
        <v>795</v>
      </c>
      <c r="R251" s="38" t="s">
        <v>910</v>
      </c>
      <c r="S251" s="48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1:30" ht="22.5" customHeight="1">
      <c r="A252" s="26">
        <v>3</v>
      </c>
      <c r="B252" s="26" t="s">
        <v>538</v>
      </c>
      <c r="C252" s="26">
        <v>34</v>
      </c>
      <c r="D252" s="29" t="s">
        <v>3296</v>
      </c>
      <c r="E252" s="31">
        <v>341</v>
      </c>
      <c r="F252" s="31" t="s">
        <v>3299</v>
      </c>
      <c r="G252" s="28" t="s">
        <v>3281</v>
      </c>
      <c r="H252" s="66" t="s">
        <v>3315</v>
      </c>
      <c r="I252" s="29"/>
      <c r="J252" s="38" t="s">
        <v>3253</v>
      </c>
      <c r="K252" s="48"/>
      <c r="L252" s="38"/>
      <c r="M252" s="38"/>
      <c r="N252" s="29"/>
      <c r="O252" s="38" t="s">
        <v>3254</v>
      </c>
      <c r="P252" s="38"/>
      <c r="Q252" s="38"/>
      <c r="R252" s="38"/>
      <c r="S252" s="48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1:30" ht="22.5" customHeight="1">
      <c r="A253" s="26">
        <v>3</v>
      </c>
      <c r="B253" s="26" t="s">
        <v>538</v>
      </c>
      <c r="C253" s="26">
        <v>34</v>
      </c>
      <c r="D253" s="29" t="s">
        <v>3296</v>
      </c>
      <c r="E253" s="31">
        <v>342</v>
      </c>
      <c r="F253" s="31" t="s">
        <v>3316</v>
      </c>
      <c r="G253" s="28" t="s">
        <v>3281</v>
      </c>
      <c r="H253" s="66" t="s">
        <v>3317</v>
      </c>
      <c r="I253" s="29"/>
      <c r="J253" s="38" t="s">
        <v>3151</v>
      </c>
      <c r="K253" s="48"/>
      <c r="L253" s="38" t="s">
        <v>3318</v>
      </c>
      <c r="M253" s="38" t="s">
        <v>3319</v>
      </c>
      <c r="N253" s="29"/>
      <c r="O253" s="38" t="s">
        <v>3207</v>
      </c>
      <c r="P253" s="38"/>
      <c r="Q253" s="38"/>
      <c r="R253" s="38"/>
      <c r="S253" s="48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1:30" ht="22.5" customHeight="1">
      <c r="A254" s="26">
        <v>3</v>
      </c>
      <c r="B254" s="26" t="s">
        <v>538</v>
      </c>
      <c r="C254" s="26">
        <v>34</v>
      </c>
      <c r="D254" s="29" t="s">
        <v>3296</v>
      </c>
      <c r="E254" s="31">
        <v>342</v>
      </c>
      <c r="F254" s="31" t="s">
        <v>3316</v>
      </c>
      <c r="G254" s="28" t="s">
        <v>3281</v>
      </c>
      <c r="H254" s="66" t="s">
        <v>3320</v>
      </c>
      <c r="I254" s="29" t="s">
        <v>3014</v>
      </c>
      <c r="J254" s="38" t="s">
        <v>3016</v>
      </c>
      <c r="K254" s="38" t="s">
        <v>3016</v>
      </c>
      <c r="L254" s="31" t="s">
        <v>1027</v>
      </c>
      <c r="M254" s="31" t="s">
        <v>1032</v>
      </c>
      <c r="N254" s="52" t="s">
        <v>1033</v>
      </c>
      <c r="O254" s="42" t="s">
        <v>1034</v>
      </c>
      <c r="P254" s="42" t="s">
        <v>1035</v>
      </c>
      <c r="Q254" s="42" t="s">
        <v>1037</v>
      </c>
      <c r="R254" s="38"/>
      <c r="S254" s="48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1:30" ht="22.5" customHeight="1">
      <c r="A255" s="26"/>
      <c r="B255" s="26"/>
      <c r="C255" s="26">
        <v>34</v>
      </c>
      <c r="D255" s="29" t="s">
        <v>3296</v>
      </c>
      <c r="E255" s="31">
        <v>342</v>
      </c>
      <c r="F255" s="31" t="s">
        <v>3316</v>
      </c>
      <c r="G255" s="28" t="s">
        <v>3281</v>
      </c>
      <c r="H255" s="59" t="s">
        <v>3323</v>
      </c>
      <c r="I255" s="40"/>
      <c r="J255" s="38" t="s">
        <v>808</v>
      </c>
      <c r="K255" s="48"/>
      <c r="L255" s="38" t="s">
        <v>722</v>
      </c>
      <c r="M255" s="42" t="s">
        <v>724</v>
      </c>
      <c r="N255" s="28" t="s">
        <v>726</v>
      </c>
      <c r="O255" s="38" t="s">
        <v>809</v>
      </c>
      <c r="P255" s="38" t="s">
        <v>810</v>
      </c>
      <c r="Q255" s="38" t="s">
        <v>811</v>
      </c>
      <c r="R255" s="38"/>
      <c r="S255" s="48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1:30" ht="22.5" customHeight="1">
      <c r="A256" s="26"/>
      <c r="B256" s="26"/>
      <c r="C256" s="26">
        <v>34</v>
      </c>
      <c r="D256" s="29" t="s">
        <v>3296</v>
      </c>
      <c r="E256" s="31">
        <v>342</v>
      </c>
      <c r="F256" s="31" t="s">
        <v>3316</v>
      </c>
      <c r="G256" s="28" t="s">
        <v>3281</v>
      </c>
      <c r="H256" s="66" t="s">
        <v>3325</v>
      </c>
      <c r="I256" s="29"/>
      <c r="J256" s="85" t="s">
        <v>1202</v>
      </c>
      <c r="K256" s="48"/>
      <c r="L256" s="38" t="s">
        <v>565</v>
      </c>
      <c r="M256" s="42" t="s">
        <v>566</v>
      </c>
      <c r="N256" s="29" t="s">
        <v>794</v>
      </c>
      <c r="O256" s="38" t="s">
        <v>569</v>
      </c>
      <c r="P256" s="38" t="s">
        <v>571</v>
      </c>
      <c r="Q256" s="38" t="s">
        <v>795</v>
      </c>
      <c r="R256" s="38" t="s">
        <v>796</v>
      </c>
      <c r="S256" s="48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1:30" ht="22.5" customHeight="1">
      <c r="A257" s="26"/>
      <c r="B257" s="26"/>
      <c r="C257" s="26">
        <v>34</v>
      </c>
      <c r="D257" s="29" t="s">
        <v>3296</v>
      </c>
      <c r="E257" s="31">
        <v>342</v>
      </c>
      <c r="F257" s="31" t="s">
        <v>3316</v>
      </c>
      <c r="G257" s="28" t="s">
        <v>3281</v>
      </c>
      <c r="H257" s="66" t="s">
        <v>3327</v>
      </c>
      <c r="I257" s="29"/>
      <c r="J257" s="38" t="s">
        <v>887</v>
      </c>
      <c r="K257" s="48"/>
      <c r="L257" s="38" t="s">
        <v>565</v>
      </c>
      <c r="M257" s="42" t="s">
        <v>566</v>
      </c>
      <c r="N257" s="29" t="s">
        <v>794</v>
      </c>
      <c r="O257" s="38" t="s">
        <v>569</v>
      </c>
      <c r="P257" s="38" t="s">
        <v>571</v>
      </c>
      <c r="Q257" s="38" t="s">
        <v>795</v>
      </c>
      <c r="R257" s="38" t="s">
        <v>910</v>
      </c>
      <c r="S257" s="48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1:30" ht="22.5" customHeight="1">
      <c r="A258" s="26"/>
      <c r="B258" s="26"/>
      <c r="C258" s="26">
        <v>34</v>
      </c>
      <c r="D258" s="29" t="s">
        <v>3296</v>
      </c>
      <c r="E258" s="31">
        <v>342</v>
      </c>
      <c r="F258" s="31" t="s">
        <v>3316</v>
      </c>
      <c r="G258" s="28" t="s">
        <v>3281</v>
      </c>
      <c r="H258" s="66" t="s">
        <v>3328</v>
      </c>
      <c r="I258" s="28" t="s">
        <v>550</v>
      </c>
      <c r="J258" s="38" t="s">
        <v>552</v>
      </c>
      <c r="K258" s="48"/>
      <c r="L258" s="38" t="s">
        <v>565</v>
      </c>
      <c r="M258" s="42" t="s">
        <v>566</v>
      </c>
      <c r="N258" s="28" t="s">
        <v>567</v>
      </c>
      <c r="O258" s="38" t="s">
        <v>569</v>
      </c>
      <c r="P258" s="38" t="s">
        <v>571</v>
      </c>
      <c r="Q258" s="38" t="s">
        <v>573</v>
      </c>
      <c r="R258" s="38"/>
      <c r="S258" s="48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1:30" ht="22.5" customHeight="1">
      <c r="A259" s="26">
        <v>3</v>
      </c>
      <c r="B259" s="26" t="s">
        <v>538</v>
      </c>
      <c r="C259" s="26">
        <v>34</v>
      </c>
      <c r="D259" s="29" t="s">
        <v>3296</v>
      </c>
      <c r="E259" s="31">
        <v>345</v>
      </c>
      <c r="F259" s="31" t="s">
        <v>3331</v>
      </c>
      <c r="G259" s="28" t="s">
        <v>3281</v>
      </c>
      <c r="H259" s="66" t="s">
        <v>3332</v>
      </c>
      <c r="I259" s="29"/>
      <c r="J259" s="38" t="s">
        <v>3151</v>
      </c>
      <c r="K259" s="48"/>
      <c r="L259" s="38"/>
      <c r="M259" s="38"/>
      <c r="N259" s="29"/>
      <c r="O259" s="38" t="s">
        <v>3207</v>
      </c>
      <c r="P259" s="38"/>
      <c r="Q259" s="38"/>
      <c r="R259" s="38"/>
      <c r="S259" s="113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1:30" ht="22.5" customHeight="1">
      <c r="A260" s="26">
        <v>3</v>
      </c>
      <c r="B260" s="26" t="s">
        <v>538</v>
      </c>
      <c r="C260" s="26">
        <v>34</v>
      </c>
      <c r="D260" s="29" t="s">
        <v>3296</v>
      </c>
      <c r="E260" s="31">
        <v>345</v>
      </c>
      <c r="F260" s="31" t="s">
        <v>3331</v>
      </c>
      <c r="G260" s="28" t="s">
        <v>3281</v>
      </c>
      <c r="H260" s="66" t="s">
        <v>3335</v>
      </c>
      <c r="I260" s="29" t="s">
        <v>3014</v>
      </c>
      <c r="J260" s="38" t="s">
        <v>3016</v>
      </c>
      <c r="K260" s="38" t="s">
        <v>3016</v>
      </c>
      <c r="L260" s="31" t="s">
        <v>1027</v>
      </c>
      <c r="M260" s="31" t="s">
        <v>1032</v>
      </c>
      <c r="N260" s="52" t="s">
        <v>1033</v>
      </c>
      <c r="O260" s="42" t="s">
        <v>1034</v>
      </c>
      <c r="P260" s="42" t="s">
        <v>1035</v>
      </c>
      <c r="Q260" s="42" t="s">
        <v>1037</v>
      </c>
      <c r="R260" s="38"/>
      <c r="S260" s="48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1:30" ht="22.5" customHeight="1">
      <c r="A261" s="26"/>
      <c r="B261" s="26"/>
      <c r="C261" s="26">
        <v>34</v>
      </c>
      <c r="D261" s="29" t="s">
        <v>3296</v>
      </c>
      <c r="E261" s="31">
        <v>345</v>
      </c>
      <c r="F261" s="31" t="s">
        <v>3331</v>
      </c>
      <c r="G261" s="28" t="s">
        <v>3281</v>
      </c>
      <c r="H261" s="59" t="s">
        <v>3337</v>
      </c>
      <c r="I261" s="40"/>
      <c r="J261" s="38" t="s">
        <v>808</v>
      </c>
      <c r="K261" s="48"/>
      <c r="L261" s="38" t="s">
        <v>722</v>
      </c>
      <c r="M261" s="42" t="s">
        <v>724</v>
      </c>
      <c r="N261" s="28" t="s">
        <v>726</v>
      </c>
      <c r="O261" s="38" t="s">
        <v>809</v>
      </c>
      <c r="P261" s="38" t="s">
        <v>810</v>
      </c>
      <c r="Q261" s="38" t="s">
        <v>811</v>
      </c>
      <c r="R261" s="38"/>
      <c r="S261" s="48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1:30" ht="22.5" customHeight="1">
      <c r="A262" s="26"/>
      <c r="B262" s="26"/>
      <c r="C262" s="26">
        <v>34</v>
      </c>
      <c r="D262" s="29" t="s">
        <v>3296</v>
      </c>
      <c r="E262" s="31">
        <v>345</v>
      </c>
      <c r="F262" s="31" t="s">
        <v>3331</v>
      </c>
      <c r="G262" s="28" t="s">
        <v>3281</v>
      </c>
      <c r="H262" s="66" t="s">
        <v>3339</v>
      </c>
      <c r="I262" s="29"/>
      <c r="J262" s="85" t="s">
        <v>1202</v>
      </c>
      <c r="K262" s="48"/>
      <c r="L262" s="38" t="s">
        <v>565</v>
      </c>
      <c r="M262" s="42" t="s">
        <v>566</v>
      </c>
      <c r="N262" s="29" t="s">
        <v>794</v>
      </c>
      <c r="O262" s="38" t="s">
        <v>569</v>
      </c>
      <c r="P262" s="38" t="s">
        <v>571</v>
      </c>
      <c r="Q262" s="38" t="s">
        <v>795</v>
      </c>
      <c r="R262" s="38" t="s">
        <v>796</v>
      </c>
      <c r="S262" s="48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1:30" ht="22.5" customHeight="1">
      <c r="A263" s="26"/>
      <c r="B263" s="26"/>
      <c r="C263" s="26">
        <v>34</v>
      </c>
      <c r="D263" s="29" t="s">
        <v>3296</v>
      </c>
      <c r="E263" s="31">
        <v>345</v>
      </c>
      <c r="F263" s="31" t="s">
        <v>3331</v>
      </c>
      <c r="G263" s="28" t="s">
        <v>3281</v>
      </c>
      <c r="H263" s="66" t="s">
        <v>3342</v>
      </c>
      <c r="I263" s="29"/>
      <c r="J263" s="38" t="s">
        <v>887</v>
      </c>
      <c r="K263" s="48"/>
      <c r="L263" s="38" t="s">
        <v>565</v>
      </c>
      <c r="M263" s="42" t="s">
        <v>566</v>
      </c>
      <c r="N263" s="29" t="s">
        <v>794</v>
      </c>
      <c r="O263" s="38" t="s">
        <v>569</v>
      </c>
      <c r="P263" s="38" t="s">
        <v>571</v>
      </c>
      <c r="Q263" s="38" t="s">
        <v>795</v>
      </c>
      <c r="R263" s="38" t="s">
        <v>910</v>
      </c>
      <c r="S263" s="48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1:30" ht="22.5" customHeight="1">
      <c r="A264" s="26"/>
      <c r="B264" s="26"/>
      <c r="C264" s="26">
        <v>34</v>
      </c>
      <c r="D264" s="29" t="s">
        <v>3296</v>
      </c>
      <c r="E264" s="31">
        <v>345</v>
      </c>
      <c r="F264" s="31" t="s">
        <v>3331</v>
      </c>
      <c r="G264" s="28" t="s">
        <v>3281</v>
      </c>
      <c r="H264" s="66" t="s">
        <v>3343</v>
      </c>
      <c r="I264" s="28" t="s">
        <v>550</v>
      </c>
      <c r="J264" s="38" t="s">
        <v>552</v>
      </c>
      <c r="K264" s="48"/>
      <c r="L264" s="38" t="s">
        <v>565</v>
      </c>
      <c r="M264" s="42" t="s">
        <v>566</v>
      </c>
      <c r="N264" s="28" t="s">
        <v>567</v>
      </c>
      <c r="O264" s="38" t="s">
        <v>569</v>
      </c>
      <c r="P264" s="38" t="s">
        <v>571</v>
      </c>
      <c r="Q264" s="38" t="s">
        <v>573</v>
      </c>
      <c r="R264" s="38"/>
      <c r="S264" s="48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1:30" ht="22.5" customHeight="1">
      <c r="A265" s="26">
        <v>3</v>
      </c>
      <c r="B265" s="26" t="s">
        <v>538</v>
      </c>
      <c r="C265" s="26">
        <v>34</v>
      </c>
      <c r="D265" s="29" t="s">
        <v>3296</v>
      </c>
      <c r="E265" s="31">
        <v>345</v>
      </c>
      <c r="F265" s="31" t="s">
        <v>3331</v>
      </c>
      <c r="G265" s="28" t="s">
        <v>3281</v>
      </c>
      <c r="H265" s="59" t="s">
        <v>3346</v>
      </c>
      <c r="I265" s="29"/>
      <c r="J265" s="42" t="s">
        <v>3347</v>
      </c>
      <c r="K265" s="48"/>
      <c r="L265" s="42" t="s">
        <v>921</v>
      </c>
      <c r="M265" s="42" t="s">
        <v>935</v>
      </c>
      <c r="N265" s="40"/>
      <c r="O265" s="38" t="s">
        <v>936</v>
      </c>
      <c r="P265" s="38" t="s">
        <v>937</v>
      </c>
      <c r="Q265" s="38" t="s">
        <v>939</v>
      </c>
      <c r="R265" s="38" t="s">
        <v>3348</v>
      </c>
      <c r="S265" s="48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1:30" ht="22.5" customHeight="1">
      <c r="A266" s="26">
        <v>3</v>
      </c>
      <c r="B266" s="26" t="s">
        <v>538</v>
      </c>
      <c r="C266" s="26">
        <v>34</v>
      </c>
      <c r="D266" s="29" t="s">
        <v>3296</v>
      </c>
      <c r="E266" s="31">
        <v>345</v>
      </c>
      <c r="F266" s="31" t="s">
        <v>3331</v>
      </c>
      <c r="G266" s="28" t="s">
        <v>3281</v>
      </c>
      <c r="H266" s="88" t="s">
        <v>3349</v>
      </c>
      <c r="I266" s="29"/>
      <c r="J266" s="38" t="s">
        <v>3253</v>
      </c>
      <c r="K266" s="48"/>
      <c r="L266" s="38"/>
      <c r="M266" s="38"/>
      <c r="N266" s="29"/>
      <c r="O266" s="38" t="s">
        <v>3254</v>
      </c>
      <c r="P266" s="38"/>
      <c r="Q266" s="38"/>
      <c r="R266" s="38"/>
      <c r="S266" s="48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1:30" ht="22.5" customHeight="1">
      <c r="A267" s="26">
        <v>3</v>
      </c>
      <c r="B267" s="26" t="s">
        <v>538</v>
      </c>
      <c r="C267" s="26">
        <v>34</v>
      </c>
      <c r="D267" s="29" t="s">
        <v>3296</v>
      </c>
      <c r="E267" s="31">
        <v>345</v>
      </c>
      <c r="F267" s="31" t="s">
        <v>3331</v>
      </c>
      <c r="G267" s="28" t="s">
        <v>3281</v>
      </c>
      <c r="H267" s="66" t="s">
        <v>3351</v>
      </c>
      <c r="I267" s="86" t="s">
        <v>3353</v>
      </c>
      <c r="J267" s="38" t="s">
        <v>3253</v>
      </c>
      <c r="K267" s="48"/>
      <c r="L267" s="38"/>
      <c r="M267" s="38"/>
      <c r="N267" s="29"/>
      <c r="O267" s="38" t="s">
        <v>3254</v>
      </c>
      <c r="P267" s="38"/>
      <c r="Q267" s="38"/>
      <c r="R267" s="38"/>
      <c r="S267" s="48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1:30" ht="22.5" customHeight="1">
      <c r="A268" s="134">
        <v>3</v>
      </c>
      <c r="B268" s="134" t="s">
        <v>538</v>
      </c>
      <c r="C268" s="134">
        <v>34</v>
      </c>
      <c r="D268" s="135" t="s">
        <v>3296</v>
      </c>
      <c r="E268" s="126">
        <v>345</v>
      </c>
      <c r="F268" s="126" t="s">
        <v>3331</v>
      </c>
      <c r="G268" s="135" t="s">
        <v>3281</v>
      </c>
      <c r="H268" s="139" t="s">
        <v>3356</v>
      </c>
      <c r="I268" s="135"/>
      <c r="J268" s="141" t="s">
        <v>3357</v>
      </c>
      <c r="K268" s="142"/>
      <c r="L268" s="141" t="s">
        <v>1443</v>
      </c>
      <c r="M268" s="141" t="s">
        <v>1444</v>
      </c>
      <c r="N268" s="135"/>
      <c r="O268" s="141" t="s">
        <v>986</v>
      </c>
      <c r="P268" s="141" t="s">
        <v>987</v>
      </c>
      <c r="Q268" s="141" t="s">
        <v>1613</v>
      </c>
      <c r="R268" s="38" t="s">
        <v>1448</v>
      </c>
      <c r="S268" s="142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5"/>
    </row>
    <row r="269" spans="1:30" ht="22.5" customHeight="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38" t="s">
        <v>1477</v>
      </c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5"/>
    </row>
    <row r="270" spans="1:30" ht="22.5" customHeight="1">
      <c r="A270" s="26">
        <v>3</v>
      </c>
      <c r="B270" s="26" t="s">
        <v>538</v>
      </c>
      <c r="C270" s="26">
        <v>34</v>
      </c>
      <c r="D270" s="29" t="s">
        <v>3296</v>
      </c>
      <c r="E270" s="31">
        <v>346</v>
      </c>
      <c r="F270" s="31" t="s">
        <v>3362</v>
      </c>
      <c r="G270" s="110"/>
      <c r="H270" s="66" t="s">
        <v>3363</v>
      </c>
      <c r="I270" s="29" t="s">
        <v>3014</v>
      </c>
      <c r="J270" s="38" t="s">
        <v>3016</v>
      </c>
      <c r="K270" s="38" t="s">
        <v>3016</v>
      </c>
      <c r="L270" s="31" t="s">
        <v>1027</v>
      </c>
      <c r="M270" s="31" t="s">
        <v>1032</v>
      </c>
      <c r="N270" s="52" t="s">
        <v>1033</v>
      </c>
      <c r="O270" s="42" t="s">
        <v>1034</v>
      </c>
      <c r="P270" s="42" t="s">
        <v>1035</v>
      </c>
      <c r="Q270" s="42" t="s">
        <v>1037</v>
      </c>
      <c r="R270" s="38"/>
      <c r="S270" s="48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1:30" ht="22.5" customHeight="1">
      <c r="A271" s="26">
        <v>3</v>
      </c>
      <c r="B271" s="26" t="s">
        <v>538</v>
      </c>
      <c r="C271" s="26">
        <v>34</v>
      </c>
      <c r="D271" s="29" t="s">
        <v>3296</v>
      </c>
      <c r="E271" s="31">
        <v>346</v>
      </c>
      <c r="F271" s="31" t="s">
        <v>3364</v>
      </c>
      <c r="G271" s="110"/>
      <c r="H271" s="59" t="s">
        <v>3365</v>
      </c>
      <c r="I271" s="40"/>
      <c r="J271" s="38" t="s">
        <v>808</v>
      </c>
      <c r="K271" s="48"/>
      <c r="L271" s="38" t="s">
        <v>722</v>
      </c>
      <c r="M271" s="42" t="s">
        <v>724</v>
      </c>
      <c r="N271" s="28" t="s">
        <v>726</v>
      </c>
      <c r="O271" s="38" t="s">
        <v>809</v>
      </c>
      <c r="P271" s="38" t="s">
        <v>810</v>
      </c>
      <c r="Q271" s="38" t="s">
        <v>811</v>
      </c>
      <c r="R271" s="38"/>
      <c r="S271" s="48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1:30" ht="22.5" customHeight="1">
      <c r="A272" s="26">
        <v>3</v>
      </c>
      <c r="B272" s="26" t="s">
        <v>538</v>
      </c>
      <c r="C272" s="26">
        <v>34</v>
      </c>
      <c r="D272" s="29" t="s">
        <v>3296</v>
      </c>
      <c r="E272" s="31">
        <v>346</v>
      </c>
      <c r="F272" s="31" t="s">
        <v>3364</v>
      </c>
      <c r="G272" s="110"/>
      <c r="H272" s="66" t="s">
        <v>3368</v>
      </c>
      <c r="I272" s="29"/>
      <c r="J272" s="85" t="s">
        <v>1202</v>
      </c>
      <c r="K272" s="48"/>
      <c r="L272" s="38" t="s">
        <v>565</v>
      </c>
      <c r="M272" s="42" t="s">
        <v>566</v>
      </c>
      <c r="N272" s="29" t="s">
        <v>794</v>
      </c>
      <c r="O272" s="38" t="s">
        <v>569</v>
      </c>
      <c r="P272" s="38" t="s">
        <v>571</v>
      </c>
      <c r="Q272" s="38" t="s">
        <v>795</v>
      </c>
      <c r="R272" s="38" t="s">
        <v>796</v>
      </c>
      <c r="S272" s="48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1:30" ht="22.5" customHeight="1">
      <c r="A273" s="26">
        <v>3</v>
      </c>
      <c r="B273" s="26" t="s">
        <v>538</v>
      </c>
      <c r="C273" s="26">
        <v>34</v>
      </c>
      <c r="D273" s="29" t="s">
        <v>3296</v>
      </c>
      <c r="E273" s="31">
        <v>346</v>
      </c>
      <c r="F273" s="31" t="s">
        <v>3364</v>
      </c>
      <c r="G273" s="110"/>
      <c r="H273" s="66" t="s">
        <v>3371</v>
      </c>
      <c r="I273" s="29"/>
      <c r="J273" s="38" t="s">
        <v>887</v>
      </c>
      <c r="K273" s="48"/>
      <c r="L273" s="38" t="s">
        <v>565</v>
      </c>
      <c r="M273" s="42" t="s">
        <v>566</v>
      </c>
      <c r="N273" s="29" t="s">
        <v>794</v>
      </c>
      <c r="O273" s="38" t="s">
        <v>569</v>
      </c>
      <c r="P273" s="38" t="s">
        <v>571</v>
      </c>
      <c r="Q273" s="38" t="s">
        <v>795</v>
      </c>
      <c r="R273" s="38" t="s">
        <v>910</v>
      </c>
      <c r="S273" s="48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1:30" ht="22.5" customHeight="1">
      <c r="A274" s="26">
        <v>3</v>
      </c>
      <c r="B274" s="26" t="s">
        <v>538</v>
      </c>
      <c r="C274" s="26">
        <v>34</v>
      </c>
      <c r="D274" s="29" t="s">
        <v>3296</v>
      </c>
      <c r="E274" s="31">
        <v>346</v>
      </c>
      <c r="F274" s="31" t="s">
        <v>3364</v>
      </c>
      <c r="G274" s="110"/>
      <c r="H274" s="66" t="s">
        <v>3372</v>
      </c>
      <c r="I274" s="28" t="s">
        <v>550</v>
      </c>
      <c r="J274" s="38" t="s">
        <v>552</v>
      </c>
      <c r="K274" s="48"/>
      <c r="L274" s="38" t="s">
        <v>565</v>
      </c>
      <c r="M274" s="42" t="s">
        <v>566</v>
      </c>
      <c r="N274" s="28" t="s">
        <v>567</v>
      </c>
      <c r="O274" s="38" t="s">
        <v>569</v>
      </c>
      <c r="P274" s="38" t="s">
        <v>571</v>
      </c>
      <c r="Q274" s="38" t="s">
        <v>573</v>
      </c>
      <c r="R274" s="38"/>
      <c r="S274" s="48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1:30" ht="22.5" customHeight="1">
      <c r="A275" s="26">
        <v>3</v>
      </c>
      <c r="B275" s="26" t="s">
        <v>538</v>
      </c>
      <c r="C275" s="26">
        <v>34</v>
      </c>
      <c r="D275" s="29" t="s">
        <v>3296</v>
      </c>
      <c r="E275" s="31">
        <v>347</v>
      </c>
      <c r="F275" s="31" t="s">
        <v>3362</v>
      </c>
      <c r="G275" s="110"/>
      <c r="H275" s="66" t="s">
        <v>3374</v>
      </c>
      <c r="I275" s="29"/>
      <c r="J275" s="38" t="s">
        <v>3151</v>
      </c>
      <c r="K275" s="48"/>
      <c r="L275" s="38"/>
      <c r="M275" s="38"/>
      <c r="N275" s="29"/>
      <c r="O275" s="38" t="s">
        <v>3207</v>
      </c>
      <c r="P275" s="38"/>
      <c r="Q275" s="38"/>
      <c r="R275" s="38"/>
      <c r="S275" s="48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1:30" ht="22.5" customHeight="1">
      <c r="A276" s="26">
        <v>3</v>
      </c>
      <c r="B276" s="26" t="s">
        <v>538</v>
      </c>
      <c r="C276" s="26">
        <v>34</v>
      </c>
      <c r="D276" s="29" t="s">
        <v>3296</v>
      </c>
      <c r="E276" s="31">
        <v>347</v>
      </c>
      <c r="F276" s="31" t="s">
        <v>3362</v>
      </c>
      <c r="G276" s="110"/>
      <c r="H276" s="59" t="s">
        <v>3375</v>
      </c>
      <c r="I276" s="40"/>
      <c r="J276" s="38" t="s">
        <v>808</v>
      </c>
      <c r="K276" s="48"/>
      <c r="L276" s="38" t="s">
        <v>722</v>
      </c>
      <c r="M276" s="42" t="s">
        <v>724</v>
      </c>
      <c r="N276" s="28" t="s">
        <v>726</v>
      </c>
      <c r="O276" s="38" t="s">
        <v>809</v>
      </c>
      <c r="P276" s="38" t="s">
        <v>810</v>
      </c>
      <c r="Q276" s="38" t="s">
        <v>811</v>
      </c>
      <c r="R276" s="38"/>
      <c r="S276" s="48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1:30" ht="22.5" customHeight="1">
      <c r="A277" s="26">
        <v>3</v>
      </c>
      <c r="B277" s="26" t="s">
        <v>538</v>
      </c>
      <c r="C277" s="26">
        <v>34</v>
      </c>
      <c r="D277" s="29" t="s">
        <v>3296</v>
      </c>
      <c r="E277" s="31">
        <v>347</v>
      </c>
      <c r="F277" s="31" t="s">
        <v>3362</v>
      </c>
      <c r="G277" s="110"/>
      <c r="H277" s="66" t="s">
        <v>3376</v>
      </c>
      <c r="I277" s="29"/>
      <c r="J277" s="85" t="s">
        <v>1202</v>
      </c>
      <c r="K277" s="48"/>
      <c r="L277" s="38" t="s">
        <v>565</v>
      </c>
      <c r="M277" s="42" t="s">
        <v>566</v>
      </c>
      <c r="N277" s="29" t="s">
        <v>794</v>
      </c>
      <c r="O277" s="38" t="s">
        <v>569</v>
      </c>
      <c r="P277" s="38" t="s">
        <v>571</v>
      </c>
      <c r="Q277" s="38" t="s">
        <v>795</v>
      </c>
      <c r="R277" s="38" t="s">
        <v>796</v>
      </c>
      <c r="S277" s="48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1:30" ht="22.5" customHeight="1">
      <c r="A278" s="26">
        <v>3</v>
      </c>
      <c r="B278" s="26" t="s">
        <v>538</v>
      </c>
      <c r="C278" s="26">
        <v>34</v>
      </c>
      <c r="D278" s="29" t="s">
        <v>3296</v>
      </c>
      <c r="E278" s="31">
        <v>347</v>
      </c>
      <c r="F278" s="31" t="s">
        <v>3362</v>
      </c>
      <c r="G278" s="110"/>
      <c r="H278" s="66" t="s">
        <v>3377</v>
      </c>
      <c r="I278" s="29"/>
      <c r="J278" s="38" t="s">
        <v>887</v>
      </c>
      <c r="K278" s="48"/>
      <c r="L278" s="38" t="s">
        <v>565</v>
      </c>
      <c r="M278" s="42" t="s">
        <v>566</v>
      </c>
      <c r="N278" s="29" t="s">
        <v>794</v>
      </c>
      <c r="O278" s="38" t="s">
        <v>569</v>
      </c>
      <c r="P278" s="38" t="s">
        <v>571</v>
      </c>
      <c r="Q278" s="38" t="s">
        <v>795</v>
      </c>
      <c r="R278" s="38" t="s">
        <v>910</v>
      </c>
      <c r="S278" s="48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1:30" ht="22.5" customHeight="1">
      <c r="A279" s="26">
        <v>3</v>
      </c>
      <c r="B279" s="26" t="s">
        <v>538</v>
      </c>
      <c r="C279" s="26">
        <v>34</v>
      </c>
      <c r="D279" s="29" t="s">
        <v>3296</v>
      </c>
      <c r="E279" s="31">
        <v>347</v>
      </c>
      <c r="F279" s="31" t="s">
        <v>3362</v>
      </c>
      <c r="G279" s="110"/>
      <c r="H279" s="66" t="s">
        <v>3378</v>
      </c>
      <c r="I279" s="28" t="s">
        <v>550</v>
      </c>
      <c r="J279" s="38" t="s">
        <v>552</v>
      </c>
      <c r="K279" s="48"/>
      <c r="L279" s="38" t="s">
        <v>565</v>
      </c>
      <c r="M279" s="42" t="s">
        <v>566</v>
      </c>
      <c r="N279" s="28" t="s">
        <v>567</v>
      </c>
      <c r="O279" s="38" t="s">
        <v>569</v>
      </c>
      <c r="P279" s="38" t="s">
        <v>571</v>
      </c>
      <c r="Q279" s="38" t="s">
        <v>573</v>
      </c>
      <c r="R279" s="38"/>
      <c r="S279" s="48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1:30" ht="22.5" customHeight="1">
      <c r="A280" s="26">
        <v>3</v>
      </c>
      <c r="B280" s="26" t="s">
        <v>538</v>
      </c>
      <c r="C280" s="26">
        <v>34</v>
      </c>
      <c r="D280" s="29" t="s">
        <v>3296</v>
      </c>
      <c r="E280" s="31">
        <v>347</v>
      </c>
      <c r="F280" s="31" t="s">
        <v>3362</v>
      </c>
      <c r="G280" s="110"/>
      <c r="H280" s="66" t="s">
        <v>3380</v>
      </c>
      <c r="I280" s="29"/>
      <c r="J280" s="38" t="s">
        <v>3253</v>
      </c>
      <c r="K280" s="48"/>
      <c r="L280" s="38"/>
      <c r="M280" s="38"/>
      <c r="N280" s="29"/>
      <c r="O280" s="38" t="s">
        <v>3254</v>
      </c>
      <c r="P280" s="38"/>
      <c r="Q280" s="38"/>
      <c r="R280" s="38"/>
      <c r="S280" s="48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1:30" ht="22.5" customHeight="1">
      <c r="A281" s="26">
        <v>3</v>
      </c>
      <c r="B281" s="26" t="s">
        <v>538</v>
      </c>
      <c r="C281" s="26">
        <v>35</v>
      </c>
      <c r="D281" s="29" t="s">
        <v>3381</v>
      </c>
      <c r="E281" s="31">
        <v>351</v>
      </c>
      <c r="F281" s="31" t="s">
        <v>3382</v>
      </c>
      <c r="G281" s="110" t="s">
        <v>3383</v>
      </c>
      <c r="H281" s="66" t="s">
        <v>3384</v>
      </c>
      <c r="I281" s="29"/>
      <c r="J281" s="38"/>
      <c r="K281" s="48"/>
      <c r="L281" s="38"/>
      <c r="M281" s="38"/>
      <c r="N281" s="29"/>
      <c r="O281" s="38" t="s">
        <v>3385</v>
      </c>
      <c r="P281" s="38"/>
      <c r="Q281" s="38"/>
      <c r="R281" s="38"/>
      <c r="S281" s="48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1:30" ht="22.5" customHeight="1">
      <c r="A282" s="26">
        <v>3</v>
      </c>
      <c r="B282" s="26" t="s">
        <v>538</v>
      </c>
      <c r="C282" s="26">
        <v>35</v>
      </c>
      <c r="D282" s="29" t="s">
        <v>3381</v>
      </c>
      <c r="E282" s="31">
        <v>351</v>
      </c>
      <c r="F282" s="31" t="s">
        <v>3382</v>
      </c>
      <c r="G282" s="110" t="s">
        <v>3383</v>
      </c>
      <c r="H282" s="66" t="s">
        <v>3386</v>
      </c>
      <c r="I282" s="29"/>
      <c r="J282" s="38" t="s">
        <v>3151</v>
      </c>
      <c r="K282" s="48"/>
      <c r="L282" s="38"/>
      <c r="M282" s="38"/>
      <c r="N282" s="29"/>
      <c r="O282" s="38" t="s">
        <v>3207</v>
      </c>
      <c r="P282" s="38"/>
      <c r="Q282" s="38"/>
      <c r="R282" s="38"/>
      <c r="S282" s="48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1:30" ht="22.5" customHeight="1">
      <c r="A283" s="26">
        <v>3</v>
      </c>
      <c r="B283" s="26" t="s">
        <v>538</v>
      </c>
      <c r="C283" s="26">
        <v>35</v>
      </c>
      <c r="D283" s="29" t="s">
        <v>3381</v>
      </c>
      <c r="E283" s="31">
        <v>351</v>
      </c>
      <c r="F283" s="31" t="s">
        <v>3382</v>
      </c>
      <c r="G283" s="110" t="s">
        <v>3383</v>
      </c>
      <c r="H283" s="59" t="s">
        <v>3388</v>
      </c>
      <c r="I283" s="40"/>
      <c r="J283" s="38" t="s">
        <v>808</v>
      </c>
      <c r="K283" s="48"/>
      <c r="L283" s="38" t="s">
        <v>722</v>
      </c>
      <c r="M283" s="42" t="s">
        <v>724</v>
      </c>
      <c r="N283" s="28" t="s">
        <v>726</v>
      </c>
      <c r="O283" s="38" t="s">
        <v>809</v>
      </c>
      <c r="P283" s="38" t="s">
        <v>810</v>
      </c>
      <c r="Q283" s="38" t="s">
        <v>811</v>
      </c>
      <c r="R283" s="38"/>
      <c r="S283" s="48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1:30" ht="22.5" customHeight="1">
      <c r="A284" s="26">
        <v>3</v>
      </c>
      <c r="B284" s="26" t="s">
        <v>538</v>
      </c>
      <c r="C284" s="26">
        <v>35</v>
      </c>
      <c r="D284" s="29" t="s">
        <v>3381</v>
      </c>
      <c r="E284" s="31">
        <v>351</v>
      </c>
      <c r="F284" s="31" t="s">
        <v>3382</v>
      </c>
      <c r="G284" s="110" t="s">
        <v>3383</v>
      </c>
      <c r="H284" s="66" t="s">
        <v>3389</v>
      </c>
      <c r="I284" s="29"/>
      <c r="J284" s="85" t="s">
        <v>1202</v>
      </c>
      <c r="K284" s="48"/>
      <c r="L284" s="38" t="s">
        <v>565</v>
      </c>
      <c r="M284" s="42" t="s">
        <v>566</v>
      </c>
      <c r="N284" s="29" t="s">
        <v>794</v>
      </c>
      <c r="O284" s="38" t="s">
        <v>569</v>
      </c>
      <c r="P284" s="38" t="s">
        <v>571</v>
      </c>
      <c r="Q284" s="38" t="s">
        <v>795</v>
      </c>
      <c r="R284" s="38" t="s">
        <v>796</v>
      </c>
      <c r="S284" s="48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1:30" ht="22.5" customHeight="1">
      <c r="A285" s="26">
        <v>3</v>
      </c>
      <c r="B285" s="26" t="s">
        <v>538</v>
      </c>
      <c r="C285" s="26">
        <v>35</v>
      </c>
      <c r="D285" s="29" t="s">
        <v>3381</v>
      </c>
      <c r="E285" s="31">
        <v>351</v>
      </c>
      <c r="F285" s="31" t="s">
        <v>3382</v>
      </c>
      <c r="G285" s="110" t="s">
        <v>3383</v>
      </c>
      <c r="H285" s="66" t="s">
        <v>3391</v>
      </c>
      <c r="I285" s="29"/>
      <c r="J285" s="38" t="s">
        <v>887</v>
      </c>
      <c r="K285" s="48"/>
      <c r="L285" s="38" t="s">
        <v>565</v>
      </c>
      <c r="M285" s="42" t="s">
        <v>566</v>
      </c>
      <c r="N285" s="29" t="s">
        <v>794</v>
      </c>
      <c r="O285" s="38" t="s">
        <v>569</v>
      </c>
      <c r="P285" s="38" t="s">
        <v>571</v>
      </c>
      <c r="Q285" s="38" t="s">
        <v>795</v>
      </c>
      <c r="R285" s="38" t="s">
        <v>910</v>
      </c>
      <c r="S285" s="48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1:30" ht="22.5" customHeight="1">
      <c r="A286" s="26">
        <v>3</v>
      </c>
      <c r="B286" s="26" t="s">
        <v>538</v>
      </c>
      <c r="C286" s="26">
        <v>35</v>
      </c>
      <c r="D286" s="29" t="s">
        <v>3381</v>
      </c>
      <c r="E286" s="31">
        <v>351</v>
      </c>
      <c r="F286" s="31" t="s">
        <v>3382</v>
      </c>
      <c r="G286" s="110" t="s">
        <v>3383</v>
      </c>
      <c r="H286" s="66" t="s">
        <v>3392</v>
      </c>
      <c r="I286" s="28" t="s">
        <v>550</v>
      </c>
      <c r="J286" s="38" t="s">
        <v>552</v>
      </c>
      <c r="K286" s="48"/>
      <c r="L286" s="38" t="s">
        <v>565</v>
      </c>
      <c r="M286" s="42" t="s">
        <v>566</v>
      </c>
      <c r="N286" s="28" t="s">
        <v>567</v>
      </c>
      <c r="O286" s="38" t="s">
        <v>569</v>
      </c>
      <c r="P286" s="38" t="s">
        <v>571</v>
      </c>
      <c r="Q286" s="38" t="s">
        <v>573</v>
      </c>
      <c r="R286" s="38"/>
      <c r="S286" s="48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1:30" ht="22.5" customHeight="1">
      <c r="A287" s="26">
        <v>3</v>
      </c>
      <c r="B287" s="26" t="s">
        <v>538</v>
      </c>
      <c r="C287" s="26">
        <v>35</v>
      </c>
      <c r="D287" s="29" t="s">
        <v>3381</v>
      </c>
      <c r="E287" s="31">
        <v>351</v>
      </c>
      <c r="F287" s="31" t="s">
        <v>3382</v>
      </c>
      <c r="G287" s="110" t="s">
        <v>3383</v>
      </c>
      <c r="H287" s="66" t="s">
        <v>3394</v>
      </c>
      <c r="I287" s="29"/>
      <c r="J287" s="38" t="s">
        <v>3253</v>
      </c>
      <c r="K287" s="48"/>
      <c r="L287" s="38"/>
      <c r="M287" s="38"/>
      <c r="N287" s="29"/>
      <c r="O287" s="38" t="s">
        <v>3254</v>
      </c>
      <c r="P287" s="38"/>
      <c r="Q287" s="38"/>
      <c r="R287" s="38"/>
      <c r="S287" s="48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1:30" ht="22.5" customHeight="1">
      <c r="A288" s="26">
        <v>3</v>
      </c>
      <c r="B288" s="26" t="s">
        <v>538</v>
      </c>
      <c r="C288" s="26">
        <v>35</v>
      </c>
      <c r="D288" s="29" t="s">
        <v>3381</v>
      </c>
      <c r="E288" s="31">
        <v>352</v>
      </c>
      <c r="F288" s="31" t="s">
        <v>3395</v>
      </c>
      <c r="G288" s="110" t="s">
        <v>3396</v>
      </c>
      <c r="H288" s="66" t="s">
        <v>3397</v>
      </c>
      <c r="I288" s="29"/>
      <c r="J288" s="38" t="s">
        <v>3398</v>
      </c>
      <c r="K288" s="48"/>
      <c r="L288" s="38"/>
      <c r="M288" s="38"/>
      <c r="N288" s="29"/>
      <c r="O288" s="38" t="s">
        <v>3399</v>
      </c>
      <c r="P288" s="38"/>
      <c r="Q288" s="38"/>
      <c r="R288" s="38"/>
      <c r="S288" s="48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1:30" ht="22.5" customHeight="1">
      <c r="A289" s="26">
        <v>3</v>
      </c>
      <c r="B289" s="26" t="s">
        <v>538</v>
      </c>
      <c r="C289" s="26">
        <v>35</v>
      </c>
      <c r="D289" s="29" t="s">
        <v>3381</v>
      </c>
      <c r="E289" s="31">
        <v>352</v>
      </c>
      <c r="F289" s="31" t="s">
        <v>3395</v>
      </c>
      <c r="G289" s="110"/>
      <c r="H289" s="66" t="s">
        <v>3400</v>
      </c>
      <c r="I289" s="29"/>
      <c r="J289" s="38" t="s">
        <v>3151</v>
      </c>
      <c r="K289" s="48"/>
      <c r="L289" s="38"/>
      <c r="M289" s="38"/>
      <c r="N289" s="29"/>
      <c r="O289" s="38" t="s">
        <v>3207</v>
      </c>
      <c r="P289" s="38"/>
      <c r="Q289" s="38"/>
      <c r="R289" s="38"/>
      <c r="S289" s="48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1:30" ht="22.5" customHeight="1">
      <c r="A290" s="26">
        <v>3</v>
      </c>
      <c r="B290" s="26" t="s">
        <v>538</v>
      </c>
      <c r="C290" s="26">
        <v>35</v>
      </c>
      <c r="D290" s="29" t="s">
        <v>3381</v>
      </c>
      <c r="E290" s="31">
        <v>352</v>
      </c>
      <c r="F290" s="31" t="s">
        <v>3395</v>
      </c>
      <c r="G290" s="110"/>
      <c r="H290" s="59" t="s">
        <v>3402</v>
      </c>
      <c r="I290" s="40"/>
      <c r="J290" s="38" t="s">
        <v>808</v>
      </c>
      <c r="K290" s="48"/>
      <c r="L290" s="38" t="s">
        <v>722</v>
      </c>
      <c r="M290" s="42" t="s">
        <v>724</v>
      </c>
      <c r="N290" s="28" t="s">
        <v>726</v>
      </c>
      <c r="O290" s="38" t="s">
        <v>809</v>
      </c>
      <c r="P290" s="38" t="s">
        <v>810</v>
      </c>
      <c r="Q290" s="38" t="s">
        <v>811</v>
      </c>
      <c r="R290" s="38"/>
      <c r="S290" s="48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1:30" ht="22.5" customHeight="1">
      <c r="A291" s="26">
        <v>3</v>
      </c>
      <c r="B291" s="26" t="s">
        <v>538</v>
      </c>
      <c r="C291" s="26">
        <v>35</v>
      </c>
      <c r="D291" s="29" t="s">
        <v>3381</v>
      </c>
      <c r="E291" s="31">
        <v>352</v>
      </c>
      <c r="F291" s="31" t="s">
        <v>3395</v>
      </c>
      <c r="G291" s="110"/>
      <c r="H291" s="66" t="s">
        <v>3403</v>
      </c>
      <c r="I291" s="29"/>
      <c r="J291" s="85" t="s">
        <v>1202</v>
      </c>
      <c r="K291" s="48"/>
      <c r="L291" s="38" t="s">
        <v>565</v>
      </c>
      <c r="M291" s="42" t="s">
        <v>566</v>
      </c>
      <c r="N291" s="29" t="s">
        <v>794</v>
      </c>
      <c r="O291" s="38" t="s">
        <v>569</v>
      </c>
      <c r="P291" s="38" t="s">
        <v>571</v>
      </c>
      <c r="Q291" s="38" t="s">
        <v>795</v>
      </c>
      <c r="R291" s="38" t="s">
        <v>796</v>
      </c>
      <c r="S291" s="48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1:30" ht="22.5" customHeight="1">
      <c r="A292" s="26">
        <v>3</v>
      </c>
      <c r="B292" s="26" t="s">
        <v>538</v>
      </c>
      <c r="C292" s="26">
        <v>35</v>
      </c>
      <c r="D292" s="29" t="s">
        <v>3381</v>
      </c>
      <c r="E292" s="31">
        <v>352</v>
      </c>
      <c r="F292" s="31" t="s">
        <v>3395</v>
      </c>
      <c r="G292" s="110"/>
      <c r="H292" s="66" t="s">
        <v>3404</v>
      </c>
      <c r="I292" s="29"/>
      <c r="J292" s="38" t="s">
        <v>887</v>
      </c>
      <c r="K292" s="48"/>
      <c r="L292" s="38" t="s">
        <v>565</v>
      </c>
      <c r="M292" s="42" t="s">
        <v>566</v>
      </c>
      <c r="N292" s="29" t="s">
        <v>794</v>
      </c>
      <c r="O292" s="38" t="s">
        <v>569</v>
      </c>
      <c r="P292" s="38" t="s">
        <v>571</v>
      </c>
      <c r="Q292" s="38" t="s">
        <v>795</v>
      </c>
      <c r="R292" s="38" t="s">
        <v>910</v>
      </c>
      <c r="S292" s="48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1:30" ht="22.5" customHeight="1">
      <c r="A293" s="26">
        <v>3</v>
      </c>
      <c r="B293" s="26" t="s">
        <v>538</v>
      </c>
      <c r="C293" s="26">
        <v>35</v>
      </c>
      <c r="D293" s="29" t="s">
        <v>3381</v>
      </c>
      <c r="E293" s="31">
        <v>352</v>
      </c>
      <c r="F293" s="31" t="s">
        <v>3395</v>
      </c>
      <c r="G293" s="110"/>
      <c r="H293" s="66" t="s">
        <v>3406</v>
      </c>
      <c r="I293" s="28" t="s">
        <v>550</v>
      </c>
      <c r="J293" s="38" t="s">
        <v>552</v>
      </c>
      <c r="K293" s="48"/>
      <c r="L293" s="38" t="s">
        <v>565</v>
      </c>
      <c r="M293" s="42" t="s">
        <v>566</v>
      </c>
      <c r="N293" s="28" t="s">
        <v>567</v>
      </c>
      <c r="O293" s="38" t="s">
        <v>569</v>
      </c>
      <c r="P293" s="38" t="s">
        <v>571</v>
      </c>
      <c r="Q293" s="38" t="s">
        <v>573</v>
      </c>
      <c r="R293" s="38"/>
      <c r="S293" s="48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1:30" ht="22.5" customHeight="1">
      <c r="A294" s="26">
        <v>3</v>
      </c>
      <c r="B294" s="26" t="s">
        <v>538</v>
      </c>
      <c r="C294" s="26">
        <v>35</v>
      </c>
      <c r="D294" s="29" t="s">
        <v>3381</v>
      </c>
      <c r="E294" s="31">
        <v>352</v>
      </c>
      <c r="F294" s="31" t="s">
        <v>3395</v>
      </c>
      <c r="G294" s="110"/>
      <c r="H294" s="66" t="s">
        <v>3407</v>
      </c>
      <c r="I294" s="29"/>
      <c r="J294" s="38" t="s">
        <v>3253</v>
      </c>
      <c r="K294" s="48"/>
      <c r="L294" s="38"/>
      <c r="M294" s="38"/>
      <c r="N294" s="29"/>
      <c r="O294" s="38" t="s">
        <v>3254</v>
      </c>
      <c r="P294" s="38"/>
      <c r="Q294" s="38"/>
      <c r="R294" s="38"/>
      <c r="S294" s="48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1:30" ht="22.5" customHeight="1">
      <c r="A295" s="26">
        <v>3</v>
      </c>
      <c r="B295" s="26" t="s">
        <v>538</v>
      </c>
      <c r="C295" s="26">
        <v>35</v>
      </c>
      <c r="D295" s="29" t="s">
        <v>3381</v>
      </c>
      <c r="E295" s="31">
        <v>353</v>
      </c>
      <c r="F295" s="31" t="s">
        <v>3410</v>
      </c>
      <c r="G295" s="28" t="s">
        <v>3411</v>
      </c>
      <c r="H295" s="66" t="s">
        <v>3412</v>
      </c>
      <c r="I295" s="29"/>
      <c r="J295" s="38" t="s">
        <v>3398</v>
      </c>
      <c r="K295" s="48"/>
      <c r="L295" s="38"/>
      <c r="M295" s="38"/>
      <c r="N295" s="29"/>
      <c r="O295" s="38" t="s">
        <v>3399</v>
      </c>
      <c r="P295" s="48"/>
      <c r="Q295" s="48"/>
      <c r="R295" s="38"/>
      <c r="S295" s="48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1:30" ht="22.5" customHeight="1">
      <c r="A296" s="26">
        <v>3</v>
      </c>
      <c r="B296" s="26" t="s">
        <v>538</v>
      </c>
      <c r="C296" s="26">
        <v>35</v>
      </c>
      <c r="D296" s="29" t="s">
        <v>3381</v>
      </c>
      <c r="E296" s="31">
        <v>353</v>
      </c>
      <c r="F296" s="31" t="s">
        <v>3410</v>
      </c>
      <c r="G296" s="110"/>
      <c r="H296" s="66" t="s">
        <v>3413</v>
      </c>
      <c r="I296" s="29"/>
      <c r="J296" s="38" t="s">
        <v>3151</v>
      </c>
      <c r="K296" s="48"/>
      <c r="L296" s="38"/>
      <c r="M296" s="38"/>
      <c r="N296" s="29"/>
      <c r="O296" s="38" t="s">
        <v>3207</v>
      </c>
      <c r="P296" s="48"/>
      <c r="Q296" s="48"/>
      <c r="R296" s="38"/>
      <c r="S296" s="48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1:30" ht="22.5" customHeight="1">
      <c r="A297" s="26">
        <v>3</v>
      </c>
      <c r="B297" s="26" t="s">
        <v>538</v>
      </c>
      <c r="C297" s="26">
        <v>35</v>
      </c>
      <c r="D297" s="29" t="s">
        <v>3381</v>
      </c>
      <c r="E297" s="31">
        <v>353</v>
      </c>
      <c r="F297" s="31" t="s">
        <v>3410</v>
      </c>
      <c r="G297" s="110"/>
      <c r="H297" s="59" t="s">
        <v>3414</v>
      </c>
      <c r="I297" s="40"/>
      <c r="J297" s="38" t="s">
        <v>808</v>
      </c>
      <c r="K297" s="48"/>
      <c r="L297" s="38" t="s">
        <v>722</v>
      </c>
      <c r="M297" s="42" t="s">
        <v>724</v>
      </c>
      <c r="N297" s="28" t="s">
        <v>726</v>
      </c>
      <c r="O297" s="38" t="s">
        <v>809</v>
      </c>
      <c r="P297" s="38" t="s">
        <v>810</v>
      </c>
      <c r="Q297" s="38" t="s">
        <v>811</v>
      </c>
      <c r="R297" s="38"/>
      <c r="S297" s="48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ht="22.5" customHeight="1">
      <c r="A298" s="26">
        <v>3</v>
      </c>
      <c r="B298" s="26" t="s">
        <v>538</v>
      </c>
      <c r="C298" s="26">
        <v>35</v>
      </c>
      <c r="D298" s="29" t="s">
        <v>3381</v>
      </c>
      <c r="E298" s="31">
        <v>353</v>
      </c>
      <c r="F298" s="31" t="s">
        <v>3410</v>
      </c>
      <c r="G298" s="110"/>
      <c r="H298" s="66" t="s">
        <v>3417</v>
      </c>
      <c r="I298" s="29"/>
      <c r="J298" s="85" t="s">
        <v>1202</v>
      </c>
      <c r="K298" s="48"/>
      <c r="L298" s="38" t="s">
        <v>565</v>
      </c>
      <c r="M298" s="42" t="s">
        <v>566</v>
      </c>
      <c r="N298" s="29" t="s">
        <v>794</v>
      </c>
      <c r="O298" s="38" t="s">
        <v>569</v>
      </c>
      <c r="P298" s="38" t="s">
        <v>571</v>
      </c>
      <c r="Q298" s="38" t="s">
        <v>795</v>
      </c>
      <c r="R298" s="38" t="s">
        <v>796</v>
      </c>
      <c r="S298" s="48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1:30" ht="22.5" customHeight="1">
      <c r="A299" s="26">
        <v>3</v>
      </c>
      <c r="B299" s="26" t="s">
        <v>538</v>
      </c>
      <c r="C299" s="26">
        <v>35</v>
      </c>
      <c r="D299" s="29" t="s">
        <v>3381</v>
      </c>
      <c r="E299" s="31">
        <v>353</v>
      </c>
      <c r="F299" s="31" t="s">
        <v>3410</v>
      </c>
      <c r="G299" s="110"/>
      <c r="H299" s="66" t="s">
        <v>3418</v>
      </c>
      <c r="I299" s="29"/>
      <c r="J299" s="38" t="s">
        <v>887</v>
      </c>
      <c r="K299" s="48"/>
      <c r="L299" s="38" t="s">
        <v>565</v>
      </c>
      <c r="M299" s="42" t="s">
        <v>566</v>
      </c>
      <c r="N299" s="29" t="s">
        <v>794</v>
      </c>
      <c r="O299" s="38" t="s">
        <v>569</v>
      </c>
      <c r="P299" s="38" t="s">
        <v>571</v>
      </c>
      <c r="Q299" s="38" t="s">
        <v>795</v>
      </c>
      <c r="R299" s="38" t="s">
        <v>910</v>
      </c>
      <c r="S299" s="48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1:30" ht="22.5" customHeight="1">
      <c r="A300" s="26">
        <v>3</v>
      </c>
      <c r="B300" s="26" t="s">
        <v>538</v>
      </c>
      <c r="C300" s="26">
        <v>35</v>
      </c>
      <c r="D300" s="29" t="s">
        <v>3381</v>
      </c>
      <c r="E300" s="31">
        <v>353</v>
      </c>
      <c r="F300" s="31" t="s">
        <v>3410</v>
      </c>
      <c r="G300" s="110"/>
      <c r="H300" s="66" t="s">
        <v>3421</v>
      </c>
      <c r="I300" s="28" t="s">
        <v>550</v>
      </c>
      <c r="J300" s="38" t="s">
        <v>552</v>
      </c>
      <c r="K300" s="48"/>
      <c r="L300" s="38" t="s">
        <v>565</v>
      </c>
      <c r="M300" s="42" t="s">
        <v>566</v>
      </c>
      <c r="N300" s="28" t="s">
        <v>567</v>
      </c>
      <c r="O300" s="38" t="s">
        <v>569</v>
      </c>
      <c r="P300" s="38" t="s">
        <v>571</v>
      </c>
      <c r="Q300" s="38" t="s">
        <v>573</v>
      </c>
      <c r="R300" s="38"/>
      <c r="S300" s="48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1:30" ht="22.5" customHeight="1">
      <c r="A301" s="26">
        <v>3</v>
      </c>
      <c r="B301" s="26" t="s">
        <v>538</v>
      </c>
      <c r="C301" s="26">
        <v>35</v>
      </c>
      <c r="D301" s="29" t="s">
        <v>3381</v>
      </c>
      <c r="E301" s="31">
        <v>353</v>
      </c>
      <c r="F301" s="31" t="s">
        <v>3410</v>
      </c>
      <c r="G301" s="110"/>
      <c r="H301" s="66" t="s">
        <v>3424</v>
      </c>
      <c r="I301" s="29"/>
      <c r="J301" s="38" t="s">
        <v>3253</v>
      </c>
      <c r="K301" s="48"/>
      <c r="L301" s="38"/>
      <c r="M301" s="38"/>
      <c r="N301" s="29"/>
      <c r="O301" s="38" t="s">
        <v>3254</v>
      </c>
      <c r="P301" s="48"/>
      <c r="Q301" s="48"/>
      <c r="R301" s="38"/>
      <c r="S301" s="48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1:30" ht="22.5" customHeight="1">
      <c r="A302" s="26">
        <v>3</v>
      </c>
      <c r="B302" s="26" t="s">
        <v>538</v>
      </c>
      <c r="C302" s="26">
        <v>35</v>
      </c>
      <c r="D302" s="29" t="s">
        <v>3381</v>
      </c>
      <c r="E302" s="31">
        <v>356</v>
      </c>
      <c r="F302" s="31" t="s">
        <v>3382</v>
      </c>
      <c r="G302" s="110"/>
      <c r="H302" s="66" t="s">
        <v>3425</v>
      </c>
      <c r="I302" s="29" t="s">
        <v>3014</v>
      </c>
      <c r="J302" s="38" t="s">
        <v>3016</v>
      </c>
      <c r="K302" s="38" t="s">
        <v>3016</v>
      </c>
      <c r="L302" s="31" t="s">
        <v>1027</v>
      </c>
      <c r="M302" s="31" t="s">
        <v>1032</v>
      </c>
      <c r="N302" s="52" t="s">
        <v>1033</v>
      </c>
      <c r="O302" s="42" t="s">
        <v>1034</v>
      </c>
      <c r="P302" s="42" t="s">
        <v>1035</v>
      </c>
      <c r="Q302" s="42" t="s">
        <v>1037</v>
      </c>
      <c r="R302" s="38"/>
      <c r="S302" s="48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1:30" ht="22.5" customHeight="1">
      <c r="A303" s="26">
        <v>3</v>
      </c>
      <c r="B303" s="26" t="s">
        <v>538</v>
      </c>
      <c r="C303" s="26">
        <v>35</v>
      </c>
      <c r="D303" s="29" t="s">
        <v>3381</v>
      </c>
      <c r="E303" s="31">
        <v>356</v>
      </c>
      <c r="F303" s="31" t="s">
        <v>3395</v>
      </c>
      <c r="G303" s="110"/>
      <c r="H303" s="66" t="s">
        <v>3428</v>
      </c>
      <c r="I303" s="29" t="s">
        <v>3014</v>
      </c>
      <c r="J303" s="38" t="s">
        <v>3016</v>
      </c>
      <c r="K303" s="38" t="s">
        <v>3016</v>
      </c>
      <c r="L303" s="31" t="s">
        <v>1027</v>
      </c>
      <c r="M303" s="31" t="s">
        <v>1032</v>
      </c>
      <c r="N303" s="52" t="s">
        <v>1033</v>
      </c>
      <c r="O303" s="42" t="s">
        <v>1034</v>
      </c>
      <c r="P303" s="42" t="s">
        <v>1035</v>
      </c>
      <c r="Q303" s="42" t="s">
        <v>1037</v>
      </c>
      <c r="R303" s="38"/>
      <c r="S303" s="48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1:30" ht="22.5" customHeight="1">
      <c r="A304" s="26">
        <v>3</v>
      </c>
      <c r="B304" s="26" t="s">
        <v>538</v>
      </c>
      <c r="C304" s="26">
        <v>35</v>
      </c>
      <c r="D304" s="29" t="s">
        <v>3381</v>
      </c>
      <c r="E304" s="31">
        <v>356</v>
      </c>
      <c r="F304" s="31" t="s">
        <v>3410</v>
      </c>
      <c r="G304" s="110"/>
      <c r="H304" s="66" t="s">
        <v>3429</v>
      </c>
      <c r="I304" s="29" t="s">
        <v>3014</v>
      </c>
      <c r="J304" s="38" t="s">
        <v>3016</v>
      </c>
      <c r="K304" s="38" t="s">
        <v>3016</v>
      </c>
      <c r="L304" s="31" t="s">
        <v>1027</v>
      </c>
      <c r="M304" s="31" t="s">
        <v>1032</v>
      </c>
      <c r="N304" s="52" t="s">
        <v>1033</v>
      </c>
      <c r="O304" s="42" t="s">
        <v>1034</v>
      </c>
      <c r="P304" s="42" t="s">
        <v>1035</v>
      </c>
      <c r="Q304" s="42" t="s">
        <v>1037</v>
      </c>
      <c r="R304" s="38"/>
      <c r="S304" s="48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1:30" ht="22.5" customHeight="1">
      <c r="A305" s="26">
        <v>3</v>
      </c>
      <c r="B305" s="26" t="s">
        <v>538</v>
      </c>
      <c r="C305" s="26">
        <v>36</v>
      </c>
      <c r="D305" s="29" t="s">
        <v>3431</v>
      </c>
      <c r="E305" s="31">
        <v>361</v>
      </c>
      <c r="F305" s="31" t="s">
        <v>3432</v>
      </c>
      <c r="G305" s="110"/>
      <c r="H305" s="66" t="s">
        <v>3433</v>
      </c>
      <c r="I305" s="29"/>
      <c r="J305" s="38" t="s">
        <v>3434</v>
      </c>
      <c r="K305" s="48"/>
      <c r="L305" s="38" t="s">
        <v>893</v>
      </c>
      <c r="M305" s="38" t="s">
        <v>895</v>
      </c>
      <c r="N305" s="28" t="s">
        <v>896</v>
      </c>
      <c r="O305" s="38" t="s">
        <v>3435</v>
      </c>
      <c r="P305" s="38" t="s">
        <v>3436</v>
      </c>
      <c r="Q305" s="38" t="s">
        <v>573</v>
      </c>
      <c r="R305" s="38"/>
      <c r="S305" s="48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1:30" ht="22.5" customHeight="1">
      <c r="A306" s="26">
        <v>3</v>
      </c>
      <c r="B306" s="26" t="s">
        <v>538</v>
      </c>
      <c r="C306" s="26">
        <v>36</v>
      </c>
      <c r="D306" s="29" t="s">
        <v>3431</v>
      </c>
      <c r="E306" s="31">
        <v>361</v>
      </c>
      <c r="F306" s="31" t="s">
        <v>3432</v>
      </c>
      <c r="G306" s="110"/>
      <c r="H306" s="66" t="s">
        <v>3437</v>
      </c>
      <c r="I306" s="29"/>
      <c r="J306" s="38" t="s">
        <v>3438</v>
      </c>
      <c r="K306" s="48"/>
      <c r="L306" s="38" t="s">
        <v>893</v>
      </c>
      <c r="M306" s="38" t="s">
        <v>895</v>
      </c>
      <c r="N306" s="28" t="s">
        <v>896</v>
      </c>
      <c r="O306" s="38" t="s">
        <v>3435</v>
      </c>
      <c r="P306" s="38" t="s">
        <v>3436</v>
      </c>
      <c r="Q306" s="38" t="s">
        <v>728</v>
      </c>
      <c r="R306" s="38"/>
      <c r="S306" s="48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1:30" ht="22.5" customHeight="1">
      <c r="A307" s="26">
        <v>3</v>
      </c>
      <c r="B307" s="26" t="s">
        <v>538</v>
      </c>
      <c r="C307" s="26">
        <v>36</v>
      </c>
      <c r="D307" s="29" t="s">
        <v>3431</v>
      </c>
      <c r="E307" s="31">
        <v>361</v>
      </c>
      <c r="F307" s="31" t="s">
        <v>3432</v>
      </c>
      <c r="G307" s="110"/>
      <c r="H307" s="66" t="s">
        <v>3440</v>
      </c>
      <c r="I307" s="29" t="s">
        <v>3441</v>
      </c>
      <c r="J307" s="38" t="s">
        <v>3442</v>
      </c>
      <c r="K307" s="48"/>
      <c r="L307" s="38" t="s">
        <v>893</v>
      </c>
      <c r="M307" s="38" t="s">
        <v>895</v>
      </c>
      <c r="N307" s="28" t="s">
        <v>896</v>
      </c>
      <c r="O307" s="38" t="s">
        <v>3443</v>
      </c>
      <c r="P307" s="38" t="s">
        <v>3444</v>
      </c>
      <c r="Q307" s="38" t="s">
        <v>824</v>
      </c>
      <c r="R307" s="38"/>
      <c r="S307" s="48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1:30" ht="22.5" customHeight="1">
      <c r="A308" s="26">
        <v>3</v>
      </c>
      <c r="B308" s="26" t="s">
        <v>538</v>
      </c>
      <c r="C308" s="26">
        <v>36</v>
      </c>
      <c r="D308" s="29" t="s">
        <v>3431</v>
      </c>
      <c r="E308" s="31">
        <v>361</v>
      </c>
      <c r="F308" s="31" t="s">
        <v>3432</v>
      </c>
      <c r="G308" s="110"/>
      <c r="H308" s="66" t="s">
        <v>3445</v>
      </c>
      <c r="I308" s="29" t="s">
        <v>3441</v>
      </c>
      <c r="J308" s="38" t="s">
        <v>3442</v>
      </c>
      <c r="K308" s="48"/>
      <c r="L308" s="38" t="s">
        <v>893</v>
      </c>
      <c r="M308" s="38" t="s">
        <v>895</v>
      </c>
      <c r="N308" s="28" t="s">
        <v>896</v>
      </c>
      <c r="O308" s="38" t="s">
        <v>3443</v>
      </c>
      <c r="P308" s="38" t="s">
        <v>3444</v>
      </c>
      <c r="Q308" s="38" t="s">
        <v>811</v>
      </c>
      <c r="R308" s="38"/>
      <c r="S308" s="48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ht="22.5" customHeight="1">
      <c r="A309" s="26">
        <v>3</v>
      </c>
      <c r="B309" s="26" t="s">
        <v>538</v>
      </c>
      <c r="C309" s="26">
        <v>36</v>
      </c>
      <c r="D309" s="29" t="s">
        <v>3431</v>
      </c>
      <c r="E309" s="31">
        <v>362</v>
      </c>
      <c r="F309" s="31" t="s">
        <v>3446</v>
      </c>
      <c r="G309" s="110" t="s">
        <v>3447</v>
      </c>
      <c r="H309" s="66" t="s">
        <v>3448</v>
      </c>
      <c r="I309" s="29"/>
      <c r="J309" s="38" t="s">
        <v>3434</v>
      </c>
      <c r="K309" s="48"/>
      <c r="L309" s="38" t="s">
        <v>893</v>
      </c>
      <c r="M309" s="38" t="s">
        <v>895</v>
      </c>
      <c r="N309" s="28" t="s">
        <v>896</v>
      </c>
      <c r="O309" s="38" t="s">
        <v>3435</v>
      </c>
      <c r="P309" s="38" t="s">
        <v>3436</v>
      </c>
      <c r="Q309" s="38" t="s">
        <v>573</v>
      </c>
      <c r="R309" s="38"/>
      <c r="S309" s="48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1:30" ht="22.5" customHeight="1">
      <c r="A310" s="26">
        <v>3</v>
      </c>
      <c r="B310" s="26" t="s">
        <v>538</v>
      </c>
      <c r="C310" s="26">
        <v>36</v>
      </c>
      <c r="D310" s="29" t="s">
        <v>3431</v>
      </c>
      <c r="E310" s="31">
        <v>362</v>
      </c>
      <c r="F310" s="31" t="s">
        <v>3446</v>
      </c>
      <c r="G310" s="110" t="s">
        <v>3447</v>
      </c>
      <c r="H310" s="66" t="s">
        <v>3451</v>
      </c>
      <c r="I310" s="29"/>
      <c r="J310" s="38" t="s">
        <v>3438</v>
      </c>
      <c r="K310" s="48"/>
      <c r="L310" s="38" t="s">
        <v>893</v>
      </c>
      <c r="M310" s="38" t="s">
        <v>895</v>
      </c>
      <c r="N310" s="28" t="s">
        <v>896</v>
      </c>
      <c r="O310" s="38" t="s">
        <v>3435</v>
      </c>
      <c r="P310" s="38" t="s">
        <v>3436</v>
      </c>
      <c r="Q310" s="38" t="s">
        <v>728</v>
      </c>
      <c r="R310" s="38"/>
      <c r="S310" s="48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1:30" ht="22.5" customHeight="1">
      <c r="A311" s="26">
        <v>3</v>
      </c>
      <c r="B311" s="26" t="s">
        <v>538</v>
      </c>
      <c r="C311" s="26">
        <v>36</v>
      </c>
      <c r="D311" s="29" t="s">
        <v>3431</v>
      </c>
      <c r="E311" s="31">
        <v>362</v>
      </c>
      <c r="F311" s="31" t="s">
        <v>3446</v>
      </c>
      <c r="G311" s="110" t="s">
        <v>3447</v>
      </c>
      <c r="H311" s="66" t="s">
        <v>3452</v>
      </c>
      <c r="I311" s="29"/>
      <c r="J311" s="38" t="s">
        <v>3442</v>
      </c>
      <c r="K311" s="48"/>
      <c r="L311" s="38" t="s">
        <v>893</v>
      </c>
      <c r="M311" s="38" t="s">
        <v>895</v>
      </c>
      <c r="N311" s="28" t="s">
        <v>896</v>
      </c>
      <c r="O311" s="38" t="s">
        <v>3443</v>
      </c>
      <c r="P311" s="38" t="s">
        <v>3444</v>
      </c>
      <c r="Q311" s="38" t="s">
        <v>824</v>
      </c>
      <c r="R311" s="38"/>
      <c r="S311" s="48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1:30" ht="22.5" customHeight="1">
      <c r="A312" s="26">
        <v>3</v>
      </c>
      <c r="B312" s="26" t="s">
        <v>538</v>
      </c>
      <c r="C312" s="26">
        <v>36</v>
      </c>
      <c r="D312" s="29" t="s">
        <v>3431</v>
      </c>
      <c r="E312" s="31">
        <v>362</v>
      </c>
      <c r="F312" s="31" t="s">
        <v>3446</v>
      </c>
      <c r="G312" s="110" t="s">
        <v>3447</v>
      </c>
      <c r="H312" s="66" t="s">
        <v>3455</v>
      </c>
      <c r="I312" s="29"/>
      <c r="J312" s="38" t="s">
        <v>3442</v>
      </c>
      <c r="K312" s="48"/>
      <c r="L312" s="38" t="s">
        <v>893</v>
      </c>
      <c r="M312" s="38" t="s">
        <v>895</v>
      </c>
      <c r="N312" s="28" t="s">
        <v>896</v>
      </c>
      <c r="O312" s="38" t="s">
        <v>3443</v>
      </c>
      <c r="P312" s="38" t="s">
        <v>3444</v>
      </c>
      <c r="Q312" s="38" t="s">
        <v>811</v>
      </c>
      <c r="R312" s="38"/>
      <c r="S312" s="48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1:30" ht="22.5" customHeight="1">
      <c r="A313" s="26">
        <v>3</v>
      </c>
      <c r="B313" s="26" t="s">
        <v>538</v>
      </c>
      <c r="C313" s="26">
        <v>36</v>
      </c>
      <c r="D313" s="29" t="s">
        <v>3431</v>
      </c>
      <c r="E313" s="31">
        <v>362</v>
      </c>
      <c r="F313" s="31" t="s">
        <v>3446</v>
      </c>
      <c r="G313" s="29"/>
      <c r="H313" s="114" t="s">
        <v>3456</v>
      </c>
      <c r="I313" s="29" t="s">
        <v>3459</v>
      </c>
      <c r="J313" s="38"/>
      <c r="K313" s="48"/>
      <c r="L313" s="38" t="s">
        <v>1309</v>
      </c>
      <c r="M313" s="38" t="s">
        <v>1310</v>
      </c>
      <c r="N313" s="28" t="s">
        <v>1312</v>
      </c>
      <c r="O313" s="38" t="s">
        <v>3460</v>
      </c>
      <c r="P313" s="38" t="s">
        <v>1315</v>
      </c>
      <c r="Q313" s="48" t="s">
        <v>1316</v>
      </c>
      <c r="R313" s="38"/>
      <c r="S313" s="44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1:30" ht="22.5" customHeight="1">
      <c r="A314" s="26">
        <v>3</v>
      </c>
      <c r="B314" s="26" t="s">
        <v>538</v>
      </c>
      <c r="C314" s="26">
        <v>36</v>
      </c>
      <c r="D314" s="29" t="s">
        <v>3431</v>
      </c>
      <c r="E314" s="31">
        <v>362</v>
      </c>
      <c r="F314" s="31" t="s">
        <v>3446</v>
      </c>
      <c r="G314" s="29"/>
      <c r="H314" s="33" t="s">
        <v>3463</v>
      </c>
      <c r="I314" s="29" t="s">
        <v>3464</v>
      </c>
      <c r="J314" s="38"/>
      <c r="K314" s="48"/>
      <c r="L314" s="38" t="s">
        <v>3465</v>
      </c>
      <c r="M314" s="38" t="s">
        <v>1926</v>
      </c>
      <c r="N314" s="28" t="s">
        <v>3466</v>
      </c>
      <c r="O314" s="38" t="s">
        <v>3460</v>
      </c>
      <c r="P314" s="38" t="s">
        <v>1315</v>
      </c>
      <c r="Q314" s="48" t="s">
        <v>3467</v>
      </c>
      <c r="R314" s="38"/>
      <c r="S314" s="44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1:30" ht="22.5" customHeight="1">
      <c r="A315" s="26">
        <v>3</v>
      </c>
      <c r="B315" s="26" t="s">
        <v>538</v>
      </c>
      <c r="C315" s="26">
        <v>36</v>
      </c>
      <c r="D315" s="29" t="s">
        <v>3431</v>
      </c>
      <c r="E315" s="31">
        <v>364</v>
      </c>
      <c r="F315" s="31" t="s">
        <v>3468</v>
      </c>
      <c r="G315" s="110"/>
      <c r="H315" s="66" t="s">
        <v>3469</v>
      </c>
      <c r="I315" s="29" t="s">
        <v>3470</v>
      </c>
      <c r="J315" s="38"/>
      <c r="K315" s="48"/>
      <c r="L315" s="38" t="s">
        <v>3471</v>
      </c>
      <c r="M315" s="38" t="s">
        <v>2418</v>
      </c>
      <c r="N315" s="29"/>
      <c r="O315" s="38" t="s">
        <v>3472</v>
      </c>
      <c r="P315" s="38" t="s">
        <v>3473</v>
      </c>
      <c r="Q315" s="38" t="s">
        <v>3474</v>
      </c>
      <c r="R315" s="38"/>
      <c r="S315" s="48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1:30" ht="22.5" customHeight="1">
      <c r="A316" s="26">
        <v>3</v>
      </c>
      <c r="B316" s="26" t="s">
        <v>538</v>
      </c>
      <c r="C316" s="26">
        <v>36</v>
      </c>
      <c r="D316" s="29" t="s">
        <v>3431</v>
      </c>
      <c r="E316" s="31">
        <v>364</v>
      </c>
      <c r="F316" s="31" t="s">
        <v>3468</v>
      </c>
      <c r="G316" s="110"/>
      <c r="H316" s="88" t="s">
        <v>3477</v>
      </c>
      <c r="I316" s="29" t="s">
        <v>3478</v>
      </c>
      <c r="J316" s="38"/>
      <c r="K316" s="48"/>
      <c r="L316" s="38" t="s">
        <v>3479</v>
      </c>
      <c r="M316" s="38" t="s">
        <v>3480</v>
      </c>
      <c r="N316" s="29" t="s">
        <v>3477</v>
      </c>
      <c r="O316" s="38" t="s">
        <v>3481</v>
      </c>
      <c r="P316" s="38" t="s">
        <v>3482</v>
      </c>
      <c r="Q316" s="38" t="s">
        <v>3483</v>
      </c>
      <c r="R316" s="38"/>
      <c r="S316" s="48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1:30" ht="22.5" customHeight="1">
      <c r="A317" s="26">
        <v>3</v>
      </c>
      <c r="B317" s="26" t="s">
        <v>538</v>
      </c>
      <c r="C317" s="26">
        <v>36</v>
      </c>
      <c r="D317" s="29" t="s">
        <v>3431</v>
      </c>
      <c r="E317" s="31">
        <v>364</v>
      </c>
      <c r="F317" s="31" t="s">
        <v>3468</v>
      </c>
      <c r="G317" s="110"/>
      <c r="H317" s="88" t="s">
        <v>3484</v>
      </c>
      <c r="I317" s="28" t="s">
        <v>3485</v>
      </c>
      <c r="J317" s="38"/>
      <c r="K317" s="48"/>
      <c r="L317" s="38" t="s">
        <v>1309</v>
      </c>
      <c r="M317" s="38" t="s">
        <v>1310</v>
      </c>
      <c r="N317" s="28" t="s">
        <v>1312</v>
      </c>
      <c r="O317" s="38" t="s">
        <v>3486</v>
      </c>
      <c r="P317" s="38" t="s">
        <v>3487</v>
      </c>
      <c r="Q317" s="38" t="s">
        <v>3488</v>
      </c>
      <c r="R317" s="38" t="s">
        <v>3489</v>
      </c>
      <c r="S317" s="48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1:30" ht="22.5" customHeight="1">
      <c r="A318" s="26">
        <v>3</v>
      </c>
      <c r="B318" s="26" t="s">
        <v>538</v>
      </c>
      <c r="C318" s="26">
        <v>36</v>
      </c>
      <c r="D318" s="29" t="s">
        <v>3431</v>
      </c>
      <c r="E318" s="31">
        <v>364</v>
      </c>
      <c r="F318" s="31" t="s">
        <v>3468</v>
      </c>
      <c r="G318" s="110"/>
      <c r="H318" s="88" t="s">
        <v>3492</v>
      </c>
      <c r="I318" s="29" t="s">
        <v>3493</v>
      </c>
      <c r="J318" s="38"/>
      <c r="K318" s="48"/>
      <c r="L318" s="38" t="s">
        <v>1309</v>
      </c>
      <c r="M318" s="38" t="s">
        <v>1310</v>
      </c>
      <c r="N318" s="28" t="s">
        <v>1312</v>
      </c>
      <c r="O318" s="38" t="s">
        <v>3486</v>
      </c>
      <c r="P318" s="38" t="s">
        <v>3487</v>
      </c>
      <c r="Q318" s="38" t="s">
        <v>3494</v>
      </c>
      <c r="R318" s="38" t="s">
        <v>3489</v>
      </c>
      <c r="S318" s="48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1:30" ht="22.5" customHeight="1">
      <c r="A319" s="26">
        <v>3</v>
      </c>
      <c r="B319" s="26" t="s">
        <v>538</v>
      </c>
      <c r="C319" s="26">
        <v>36</v>
      </c>
      <c r="D319" s="29" t="s">
        <v>3431</v>
      </c>
      <c r="E319" s="31">
        <v>364</v>
      </c>
      <c r="F319" s="31" t="s">
        <v>3468</v>
      </c>
      <c r="G319" s="110"/>
      <c r="H319" s="88" t="s">
        <v>3495</v>
      </c>
      <c r="I319" s="28" t="s">
        <v>3496</v>
      </c>
      <c r="J319" s="38"/>
      <c r="K319" s="48"/>
      <c r="L319" s="38" t="s">
        <v>2923</v>
      </c>
      <c r="M319" s="38" t="s">
        <v>2919</v>
      </c>
      <c r="N319" s="29" t="s">
        <v>3495</v>
      </c>
      <c r="O319" s="38" t="s">
        <v>2783</v>
      </c>
      <c r="P319" s="38"/>
      <c r="Q319" s="38"/>
      <c r="R319" s="38"/>
      <c r="S319" s="48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1:30" ht="22.5" customHeight="1">
      <c r="A320" s="26">
        <v>3</v>
      </c>
      <c r="B320" s="26" t="s">
        <v>538</v>
      </c>
      <c r="C320" s="26">
        <v>36</v>
      </c>
      <c r="D320" s="29" t="s">
        <v>3431</v>
      </c>
      <c r="E320" s="31">
        <v>364</v>
      </c>
      <c r="F320" s="31" t="s">
        <v>3468</v>
      </c>
      <c r="G320" s="110"/>
      <c r="H320" s="88" t="s">
        <v>3499</v>
      </c>
      <c r="I320" s="29"/>
      <c r="J320" s="38" t="s">
        <v>3500</v>
      </c>
      <c r="K320" s="48"/>
      <c r="L320" s="38" t="s">
        <v>2923</v>
      </c>
      <c r="M320" s="38" t="s">
        <v>2919</v>
      </c>
      <c r="N320" s="29" t="s">
        <v>3501</v>
      </c>
      <c r="O320" s="38" t="s">
        <v>3481</v>
      </c>
      <c r="P320" s="38" t="s">
        <v>3482</v>
      </c>
      <c r="Q320" s="38" t="s">
        <v>3483</v>
      </c>
      <c r="R320" s="38"/>
      <c r="S320" s="48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1:30" ht="22.5" customHeight="1">
      <c r="A321" s="26">
        <v>3</v>
      </c>
      <c r="B321" s="26" t="s">
        <v>538</v>
      </c>
      <c r="C321" s="26">
        <v>36</v>
      </c>
      <c r="D321" s="29" t="s">
        <v>3431</v>
      </c>
      <c r="E321" s="31">
        <v>364</v>
      </c>
      <c r="F321" s="31" t="s">
        <v>3468</v>
      </c>
      <c r="G321" s="110"/>
      <c r="H321" s="88" t="s">
        <v>3502</v>
      </c>
      <c r="I321" s="29"/>
      <c r="J321" s="38" t="s">
        <v>3503</v>
      </c>
      <c r="K321" s="48"/>
      <c r="L321" s="38" t="s">
        <v>2923</v>
      </c>
      <c r="M321" s="38" t="s">
        <v>2919</v>
      </c>
      <c r="N321" s="29" t="s">
        <v>3501</v>
      </c>
      <c r="O321" s="38" t="s">
        <v>3486</v>
      </c>
      <c r="P321" s="38" t="s">
        <v>3487</v>
      </c>
      <c r="Q321" s="38" t="s">
        <v>3504</v>
      </c>
      <c r="R321" s="38" t="s">
        <v>3505</v>
      </c>
      <c r="S321" s="48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1:30" ht="22.5" customHeight="1">
      <c r="A322" s="26">
        <v>3</v>
      </c>
      <c r="B322" s="26" t="s">
        <v>538</v>
      </c>
      <c r="C322" s="26">
        <v>36</v>
      </c>
      <c r="D322" s="29" t="s">
        <v>3431</v>
      </c>
      <c r="E322" s="31">
        <v>364</v>
      </c>
      <c r="F322" s="31" t="s">
        <v>3468</v>
      </c>
      <c r="G322" s="110"/>
      <c r="H322" s="88" t="s">
        <v>3508</v>
      </c>
      <c r="I322" s="28" t="s">
        <v>3496</v>
      </c>
      <c r="J322" s="38"/>
      <c r="K322" s="48"/>
      <c r="L322" s="38" t="s">
        <v>2923</v>
      </c>
      <c r="M322" s="38" t="s">
        <v>2919</v>
      </c>
      <c r="N322" s="29" t="s">
        <v>3508</v>
      </c>
      <c r="O322" s="38" t="s">
        <v>2783</v>
      </c>
      <c r="P322" s="38"/>
      <c r="Q322" s="38"/>
      <c r="R322" s="38"/>
      <c r="S322" s="48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1:30" ht="22.5" customHeight="1">
      <c r="A323" s="26">
        <v>3</v>
      </c>
      <c r="B323" s="26" t="s">
        <v>538</v>
      </c>
      <c r="C323" s="26">
        <v>36</v>
      </c>
      <c r="D323" s="29" t="s">
        <v>3431</v>
      </c>
      <c r="E323" s="31">
        <v>364</v>
      </c>
      <c r="F323" s="31" t="s">
        <v>3468</v>
      </c>
      <c r="G323" s="110"/>
      <c r="H323" s="88" t="s">
        <v>3509</v>
      </c>
      <c r="I323" s="28" t="s">
        <v>3496</v>
      </c>
      <c r="J323" s="38"/>
      <c r="K323" s="48"/>
      <c r="L323" s="38" t="s">
        <v>2923</v>
      </c>
      <c r="M323" s="38" t="s">
        <v>2919</v>
      </c>
      <c r="N323" s="29"/>
      <c r="O323" s="38" t="s">
        <v>2783</v>
      </c>
      <c r="P323" s="38"/>
      <c r="Q323" s="38"/>
      <c r="R323" s="38"/>
      <c r="S323" s="48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1:30" ht="22.5" customHeight="1">
      <c r="A324" s="26">
        <v>3</v>
      </c>
      <c r="B324" s="26" t="s">
        <v>538</v>
      </c>
      <c r="C324" s="26">
        <v>36</v>
      </c>
      <c r="D324" s="29" t="s">
        <v>3431</v>
      </c>
      <c r="E324" s="31">
        <v>364</v>
      </c>
      <c r="F324" s="31" t="s">
        <v>3468</v>
      </c>
      <c r="G324" s="110"/>
      <c r="H324" s="88" t="s">
        <v>3512</v>
      </c>
      <c r="I324" s="29"/>
      <c r="J324" s="38"/>
      <c r="K324" s="48"/>
      <c r="L324" s="38" t="s">
        <v>3513</v>
      </c>
      <c r="M324" s="38" t="s">
        <v>3514</v>
      </c>
      <c r="N324" s="29"/>
      <c r="O324" s="38" t="s">
        <v>3515</v>
      </c>
      <c r="P324" s="38" t="s">
        <v>3516</v>
      </c>
      <c r="Q324" s="38" t="s">
        <v>3517</v>
      </c>
      <c r="R324" s="38" t="s">
        <v>3518</v>
      </c>
      <c r="S324" s="48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1:30" ht="22.5" customHeight="1">
      <c r="A325" s="26">
        <v>3</v>
      </c>
      <c r="B325" s="26" t="s">
        <v>538</v>
      </c>
      <c r="C325" s="26">
        <v>36</v>
      </c>
      <c r="D325" s="29" t="s">
        <v>3431</v>
      </c>
      <c r="E325" s="31">
        <v>364</v>
      </c>
      <c r="F325" s="31" t="s">
        <v>3468</v>
      </c>
      <c r="G325" s="110"/>
      <c r="H325" s="88" t="s">
        <v>3519</v>
      </c>
      <c r="I325" s="29" t="s">
        <v>3520</v>
      </c>
      <c r="J325" s="38" t="s">
        <v>3521</v>
      </c>
      <c r="K325" s="48"/>
      <c r="L325" s="38" t="s">
        <v>3522</v>
      </c>
      <c r="M325" s="38" t="s">
        <v>3523</v>
      </c>
      <c r="N325" s="29"/>
      <c r="O325" s="38" t="s">
        <v>3524</v>
      </c>
      <c r="P325" s="38" t="s">
        <v>3473</v>
      </c>
      <c r="Q325" s="38" t="s">
        <v>3525</v>
      </c>
      <c r="R325" s="38"/>
      <c r="S325" s="48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1:30" ht="22.5" customHeight="1">
      <c r="A326" s="26">
        <v>3</v>
      </c>
      <c r="B326" s="26" t="s">
        <v>538</v>
      </c>
      <c r="C326" s="26">
        <v>36</v>
      </c>
      <c r="D326" s="29" t="s">
        <v>3431</v>
      </c>
      <c r="E326" s="31">
        <v>364</v>
      </c>
      <c r="F326" s="31" t="s">
        <v>3468</v>
      </c>
      <c r="G326" s="110"/>
      <c r="H326" s="88" t="s">
        <v>3527</v>
      </c>
      <c r="I326" s="29" t="s">
        <v>3528</v>
      </c>
      <c r="J326" s="38"/>
      <c r="K326" s="48"/>
      <c r="L326" s="38" t="s">
        <v>3529</v>
      </c>
      <c r="M326" s="38" t="s">
        <v>3527</v>
      </c>
      <c r="N326" s="29" t="s">
        <v>3530</v>
      </c>
      <c r="O326" s="38" t="s">
        <v>3486</v>
      </c>
      <c r="P326" s="38" t="s">
        <v>3487</v>
      </c>
      <c r="Q326" s="38" t="s">
        <v>3504</v>
      </c>
      <c r="R326" s="38" t="s">
        <v>3505</v>
      </c>
      <c r="S326" s="48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1:30" ht="22.5" customHeight="1">
      <c r="A327" s="26">
        <v>3</v>
      </c>
      <c r="B327" s="26" t="s">
        <v>538</v>
      </c>
      <c r="C327" s="26">
        <v>36</v>
      </c>
      <c r="D327" s="29" t="s">
        <v>3431</v>
      </c>
      <c r="E327" s="31">
        <v>364</v>
      </c>
      <c r="F327" s="31" t="s">
        <v>3468</v>
      </c>
      <c r="G327" s="110"/>
      <c r="H327" s="88" t="s">
        <v>3531</v>
      </c>
      <c r="I327" s="29" t="s">
        <v>3532</v>
      </c>
      <c r="J327" s="38"/>
      <c r="K327" s="48"/>
      <c r="L327" s="38" t="s">
        <v>3529</v>
      </c>
      <c r="M327" s="38" t="s">
        <v>3527</v>
      </c>
      <c r="N327" s="29" t="s">
        <v>3530</v>
      </c>
      <c r="O327" s="38" t="s">
        <v>3486</v>
      </c>
      <c r="P327" s="38" t="s">
        <v>3487</v>
      </c>
      <c r="Q327" s="38" t="s">
        <v>3504</v>
      </c>
      <c r="R327" s="38" t="s">
        <v>3505</v>
      </c>
      <c r="S327" s="48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1:30" ht="22.5" customHeight="1">
      <c r="A328" s="26">
        <v>3</v>
      </c>
      <c r="B328" s="26" t="s">
        <v>538</v>
      </c>
      <c r="C328" s="26">
        <v>36</v>
      </c>
      <c r="D328" s="29" t="s">
        <v>3431</v>
      </c>
      <c r="E328" s="31">
        <v>364</v>
      </c>
      <c r="F328" s="31" t="s">
        <v>3468</v>
      </c>
      <c r="G328" s="110"/>
      <c r="H328" s="88" t="s">
        <v>3533</v>
      </c>
      <c r="I328" s="29" t="s">
        <v>3534</v>
      </c>
      <c r="J328" s="38" t="s">
        <v>3535</v>
      </c>
      <c r="K328" s="48"/>
      <c r="L328" s="38" t="s">
        <v>3529</v>
      </c>
      <c r="M328" s="38" t="s">
        <v>3527</v>
      </c>
      <c r="N328" s="29" t="s">
        <v>3530</v>
      </c>
      <c r="O328" s="38" t="s">
        <v>3486</v>
      </c>
      <c r="P328" s="38" t="s">
        <v>3487</v>
      </c>
      <c r="Q328" s="38" t="s">
        <v>3488</v>
      </c>
      <c r="R328" s="38" t="s">
        <v>3505</v>
      </c>
      <c r="S328" s="48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1:30" ht="22.5" customHeight="1">
      <c r="A329" s="26">
        <v>3</v>
      </c>
      <c r="B329" s="26" t="s">
        <v>538</v>
      </c>
      <c r="C329" s="26">
        <v>36</v>
      </c>
      <c r="D329" s="29" t="s">
        <v>3431</v>
      </c>
      <c r="E329" s="31">
        <v>364</v>
      </c>
      <c r="F329" s="31" t="s">
        <v>3468</v>
      </c>
      <c r="G329" s="110"/>
      <c r="H329" s="66" t="s">
        <v>3537</v>
      </c>
      <c r="I329" s="28" t="s">
        <v>3537</v>
      </c>
      <c r="J329" s="38" t="s">
        <v>3538</v>
      </c>
      <c r="K329" s="48"/>
      <c r="L329" s="38" t="s">
        <v>3529</v>
      </c>
      <c r="M329" s="38" t="s">
        <v>3527</v>
      </c>
      <c r="N329" s="29" t="s">
        <v>3530</v>
      </c>
      <c r="O329" s="38" t="s">
        <v>3486</v>
      </c>
      <c r="P329" s="38" t="s">
        <v>3487</v>
      </c>
      <c r="Q329" s="38" t="s">
        <v>3504</v>
      </c>
      <c r="R329" s="38" t="s">
        <v>3505</v>
      </c>
      <c r="S329" s="48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1:30" ht="22.5" customHeight="1">
      <c r="A330" s="26">
        <v>3</v>
      </c>
      <c r="B330" s="26" t="s">
        <v>538</v>
      </c>
      <c r="C330" s="26">
        <v>36</v>
      </c>
      <c r="D330" s="29" t="s">
        <v>3431</v>
      </c>
      <c r="E330" s="31">
        <v>364</v>
      </c>
      <c r="F330" s="31" t="s">
        <v>3468</v>
      </c>
      <c r="G330" s="110"/>
      <c r="H330" s="88" t="s">
        <v>3539</v>
      </c>
      <c r="I330" s="28" t="s">
        <v>3496</v>
      </c>
      <c r="J330" s="38"/>
      <c r="K330" s="48"/>
      <c r="L330" s="38" t="s">
        <v>2923</v>
      </c>
      <c r="M330" s="38" t="s">
        <v>2919</v>
      </c>
      <c r="N330" s="29" t="s">
        <v>3508</v>
      </c>
      <c r="O330" s="38" t="s">
        <v>2783</v>
      </c>
      <c r="P330" s="38"/>
      <c r="Q330" s="38"/>
      <c r="R330" s="38"/>
      <c r="S330" s="48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1:30" ht="22.5" customHeight="1">
      <c r="A331" s="26">
        <v>3</v>
      </c>
      <c r="B331" s="26" t="s">
        <v>538</v>
      </c>
      <c r="C331" s="26">
        <v>36</v>
      </c>
      <c r="D331" s="29" t="s">
        <v>3431</v>
      </c>
      <c r="E331" s="31">
        <v>364</v>
      </c>
      <c r="F331" s="31" t="s">
        <v>3468</v>
      </c>
      <c r="G331" s="110"/>
      <c r="H331" s="88" t="s">
        <v>3542</v>
      </c>
      <c r="I331" s="29" t="s">
        <v>3543</v>
      </c>
      <c r="J331" s="38"/>
      <c r="K331" s="48"/>
      <c r="L331" s="38" t="s">
        <v>1309</v>
      </c>
      <c r="M331" s="38" t="s">
        <v>1310</v>
      </c>
      <c r="N331" s="28" t="s">
        <v>1312</v>
      </c>
      <c r="O331" s="38" t="s">
        <v>3486</v>
      </c>
      <c r="P331" s="38" t="s">
        <v>3487</v>
      </c>
      <c r="Q331" s="38" t="s">
        <v>3494</v>
      </c>
      <c r="R331" s="38" t="s">
        <v>3544</v>
      </c>
      <c r="S331" s="48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1:30" ht="22.5" customHeight="1">
      <c r="A332" s="26">
        <v>3</v>
      </c>
      <c r="B332" s="26" t="s">
        <v>538</v>
      </c>
      <c r="C332" s="26">
        <v>36</v>
      </c>
      <c r="D332" s="29" t="s">
        <v>3431</v>
      </c>
      <c r="E332" s="31">
        <v>364</v>
      </c>
      <c r="F332" s="31" t="s">
        <v>3468</v>
      </c>
      <c r="G332" s="110"/>
      <c r="H332" s="88" t="s">
        <v>3545</v>
      </c>
      <c r="I332" s="28" t="s">
        <v>3546</v>
      </c>
      <c r="J332" s="38"/>
      <c r="K332" s="48"/>
      <c r="L332" s="38" t="s">
        <v>1309</v>
      </c>
      <c r="M332" s="38" t="s">
        <v>1310</v>
      </c>
      <c r="N332" s="28" t="s">
        <v>1312</v>
      </c>
      <c r="O332" s="38" t="s">
        <v>3486</v>
      </c>
      <c r="P332" s="38" t="s">
        <v>3487</v>
      </c>
      <c r="Q332" s="38" t="s">
        <v>3488</v>
      </c>
      <c r="R332" s="38" t="s">
        <v>3489</v>
      </c>
      <c r="S332" s="48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1:30" ht="22.5" customHeight="1">
      <c r="A333" s="26"/>
      <c r="B333" s="26" t="s">
        <v>538</v>
      </c>
      <c r="C333" s="26">
        <v>36</v>
      </c>
      <c r="D333" s="29" t="s">
        <v>3431</v>
      </c>
      <c r="E333" s="31">
        <v>364</v>
      </c>
      <c r="F333" s="31" t="s">
        <v>3468</v>
      </c>
      <c r="G333" s="110"/>
      <c r="H333" s="88" t="s">
        <v>3548</v>
      </c>
      <c r="I333" s="28" t="s">
        <v>3496</v>
      </c>
      <c r="J333" s="38"/>
      <c r="K333" s="48"/>
      <c r="L333" s="38" t="s">
        <v>2923</v>
      </c>
      <c r="M333" s="38" t="s">
        <v>2919</v>
      </c>
      <c r="N333" s="29" t="s">
        <v>3508</v>
      </c>
      <c r="O333" s="38" t="s">
        <v>2783</v>
      </c>
      <c r="P333" s="38"/>
      <c r="Q333" s="38"/>
      <c r="R333" s="38"/>
      <c r="S333" s="48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1:30" ht="22.5" customHeight="1">
      <c r="A334" s="26">
        <v>3</v>
      </c>
      <c r="B334" s="26" t="s">
        <v>538</v>
      </c>
      <c r="C334" s="26">
        <v>36</v>
      </c>
      <c r="D334" s="29" t="s">
        <v>3431</v>
      </c>
      <c r="E334" s="31">
        <v>364</v>
      </c>
      <c r="F334" s="31" t="s">
        <v>3468</v>
      </c>
      <c r="G334" s="110"/>
      <c r="H334" s="88" t="s">
        <v>3550</v>
      </c>
      <c r="I334" s="28" t="s">
        <v>3496</v>
      </c>
      <c r="J334" s="38"/>
      <c r="K334" s="48"/>
      <c r="L334" s="38" t="s">
        <v>2923</v>
      </c>
      <c r="M334" s="38" t="s">
        <v>2919</v>
      </c>
      <c r="N334" s="29" t="s">
        <v>3551</v>
      </c>
      <c r="O334" s="38" t="s">
        <v>2783</v>
      </c>
      <c r="P334" s="38"/>
      <c r="Q334" s="38"/>
      <c r="R334" s="38"/>
      <c r="S334" s="48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1:30" ht="22.5" customHeight="1">
      <c r="A335" s="26">
        <v>3</v>
      </c>
      <c r="B335" s="26" t="s">
        <v>538</v>
      </c>
      <c r="C335" s="26">
        <v>36</v>
      </c>
      <c r="D335" s="29" t="s">
        <v>3431</v>
      </c>
      <c r="E335" s="31">
        <v>364</v>
      </c>
      <c r="F335" s="31" t="s">
        <v>3468</v>
      </c>
      <c r="G335" s="110"/>
      <c r="H335" s="88" t="s">
        <v>3552</v>
      </c>
      <c r="I335" s="86" t="s">
        <v>3554</v>
      </c>
      <c r="J335" s="85" t="s">
        <v>3555</v>
      </c>
      <c r="K335" s="48"/>
      <c r="L335" s="38" t="s">
        <v>3557</v>
      </c>
      <c r="M335" s="38" t="s">
        <v>3558</v>
      </c>
      <c r="N335" s="29" t="s">
        <v>3559</v>
      </c>
      <c r="O335" s="38" t="s">
        <v>3560</v>
      </c>
      <c r="P335" s="38"/>
      <c r="Q335" s="38"/>
      <c r="R335" s="38"/>
      <c r="S335" s="48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1:30" ht="22.5" customHeight="1">
      <c r="A336" s="26">
        <v>3</v>
      </c>
      <c r="B336" s="26" t="s">
        <v>538</v>
      </c>
      <c r="C336" s="26">
        <v>36</v>
      </c>
      <c r="D336" s="29" t="s">
        <v>3431</v>
      </c>
      <c r="E336" s="31">
        <v>364</v>
      </c>
      <c r="F336" s="31" t="s">
        <v>3468</v>
      </c>
      <c r="G336" s="110"/>
      <c r="H336" s="88" t="s">
        <v>3561</v>
      </c>
      <c r="I336" s="29" t="s">
        <v>3562</v>
      </c>
      <c r="J336" s="38" t="s">
        <v>3563</v>
      </c>
      <c r="K336" s="48"/>
      <c r="L336" s="38" t="s">
        <v>2637</v>
      </c>
      <c r="M336" s="38" t="s">
        <v>2640</v>
      </c>
      <c r="N336" s="29" t="s">
        <v>3564</v>
      </c>
      <c r="O336" s="38" t="s">
        <v>986</v>
      </c>
      <c r="P336" s="38" t="s">
        <v>987</v>
      </c>
      <c r="Q336" s="38" t="s">
        <v>3194</v>
      </c>
      <c r="R336" s="38"/>
      <c r="S336" s="48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1:30" ht="22.5" customHeight="1">
      <c r="A337" s="26">
        <v>3</v>
      </c>
      <c r="B337" s="26" t="s">
        <v>538</v>
      </c>
      <c r="C337" s="26">
        <v>36</v>
      </c>
      <c r="D337" s="29" t="s">
        <v>3431</v>
      </c>
      <c r="E337" s="31">
        <v>364</v>
      </c>
      <c r="F337" s="31" t="s">
        <v>3468</v>
      </c>
      <c r="G337" s="110"/>
      <c r="H337" s="88" t="s">
        <v>3565</v>
      </c>
      <c r="I337" s="29" t="s">
        <v>3566</v>
      </c>
      <c r="J337" s="38" t="s">
        <v>3563</v>
      </c>
      <c r="K337" s="48"/>
      <c r="L337" s="38" t="s">
        <v>2637</v>
      </c>
      <c r="M337" s="38" t="s">
        <v>2640</v>
      </c>
      <c r="N337" s="29" t="s">
        <v>3564</v>
      </c>
      <c r="O337" s="38" t="s">
        <v>986</v>
      </c>
      <c r="P337" s="38" t="s">
        <v>987</v>
      </c>
      <c r="Q337" s="38" t="s">
        <v>3194</v>
      </c>
      <c r="R337" s="38"/>
      <c r="S337" s="48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1:30" ht="22.5" customHeight="1">
      <c r="A338" s="26">
        <v>3</v>
      </c>
      <c r="B338" s="26" t="s">
        <v>538</v>
      </c>
      <c r="C338" s="26">
        <v>36</v>
      </c>
      <c r="D338" s="29" t="s">
        <v>3431</v>
      </c>
      <c r="E338" s="31">
        <v>364</v>
      </c>
      <c r="F338" s="31" t="s">
        <v>3468</v>
      </c>
      <c r="G338" s="110"/>
      <c r="H338" s="88" t="s">
        <v>3569</v>
      </c>
      <c r="I338" s="29"/>
      <c r="J338" s="38" t="s">
        <v>3563</v>
      </c>
      <c r="K338" s="48"/>
      <c r="L338" s="38" t="s">
        <v>2637</v>
      </c>
      <c r="M338" s="38" t="s">
        <v>2640</v>
      </c>
      <c r="N338" s="29" t="s">
        <v>3564</v>
      </c>
      <c r="O338" s="38" t="s">
        <v>986</v>
      </c>
      <c r="P338" s="38" t="s">
        <v>987</v>
      </c>
      <c r="Q338" s="38" t="s">
        <v>3194</v>
      </c>
      <c r="R338" s="38"/>
      <c r="S338" s="48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1:30" ht="22.5" customHeight="1">
      <c r="A339" s="26">
        <v>3</v>
      </c>
      <c r="B339" s="26" t="s">
        <v>538</v>
      </c>
      <c r="C339" s="26">
        <v>36</v>
      </c>
      <c r="D339" s="29" t="s">
        <v>3431</v>
      </c>
      <c r="E339" s="31">
        <v>364</v>
      </c>
      <c r="F339" s="31" t="s">
        <v>3468</v>
      </c>
      <c r="G339" s="110"/>
      <c r="H339" s="88" t="s">
        <v>3570</v>
      </c>
      <c r="I339" s="29"/>
      <c r="J339" s="38" t="s">
        <v>3563</v>
      </c>
      <c r="K339" s="48"/>
      <c r="L339" s="38" t="s">
        <v>2637</v>
      </c>
      <c r="M339" s="38" t="s">
        <v>2640</v>
      </c>
      <c r="N339" s="29" t="s">
        <v>3564</v>
      </c>
      <c r="O339" s="38" t="s">
        <v>986</v>
      </c>
      <c r="P339" s="38" t="s">
        <v>987</v>
      </c>
      <c r="Q339" s="38" t="s">
        <v>3194</v>
      </c>
      <c r="R339" s="38"/>
      <c r="S339" s="48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1:30" ht="22.5" customHeight="1">
      <c r="A340" s="26">
        <v>3</v>
      </c>
      <c r="B340" s="26" t="s">
        <v>538</v>
      </c>
      <c r="C340" s="26">
        <v>36</v>
      </c>
      <c r="D340" s="29" t="s">
        <v>3431</v>
      </c>
      <c r="E340" s="31">
        <v>364</v>
      </c>
      <c r="F340" s="31" t="s">
        <v>3468</v>
      </c>
      <c r="G340" s="110"/>
      <c r="H340" s="88" t="s">
        <v>3571</v>
      </c>
      <c r="I340" s="29"/>
      <c r="J340" s="38"/>
      <c r="K340" s="48"/>
      <c r="L340" s="38" t="s">
        <v>2923</v>
      </c>
      <c r="M340" s="38" t="s">
        <v>2919</v>
      </c>
      <c r="N340" s="29" t="s">
        <v>3571</v>
      </c>
      <c r="O340" s="38" t="s">
        <v>3486</v>
      </c>
      <c r="P340" s="38" t="s">
        <v>3487</v>
      </c>
      <c r="Q340" s="38" t="s">
        <v>3504</v>
      </c>
      <c r="R340" s="38" t="s">
        <v>3505</v>
      </c>
      <c r="S340" s="48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1:30" ht="22.5" customHeight="1">
      <c r="A341" s="26">
        <v>3</v>
      </c>
      <c r="B341" s="26" t="s">
        <v>538</v>
      </c>
      <c r="C341" s="26">
        <v>36</v>
      </c>
      <c r="D341" s="29" t="s">
        <v>3431</v>
      </c>
      <c r="E341" s="31">
        <v>364</v>
      </c>
      <c r="F341" s="31" t="s">
        <v>3468</v>
      </c>
      <c r="G341" s="110"/>
      <c r="H341" s="88" t="s">
        <v>3574</v>
      </c>
      <c r="I341" s="29" t="s">
        <v>3575</v>
      </c>
      <c r="J341" s="38"/>
      <c r="K341" s="48"/>
      <c r="L341" s="38" t="s">
        <v>3576</v>
      </c>
      <c r="M341" s="38" t="s">
        <v>3574</v>
      </c>
      <c r="N341" s="29"/>
      <c r="O341" s="38" t="s">
        <v>3515</v>
      </c>
      <c r="P341" s="38" t="s">
        <v>3516</v>
      </c>
      <c r="Q341" s="38" t="s">
        <v>3577</v>
      </c>
      <c r="R341" s="38" t="s">
        <v>602</v>
      </c>
      <c r="S341" s="48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1:30" ht="22.5" customHeight="1">
      <c r="A342" s="26">
        <v>3</v>
      </c>
      <c r="B342" s="26" t="s">
        <v>538</v>
      </c>
      <c r="C342" s="26">
        <v>36</v>
      </c>
      <c r="D342" s="29" t="s">
        <v>3431</v>
      </c>
      <c r="E342" s="31">
        <v>364</v>
      </c>
      <c r="F342" s="31" t="s">
        <v>3468</v>
      </c>
      <c r="G342" s="110"/>
      <c r="H342" s="88" t="s">
        <v>3579</v>
      </c>
      <c r="I342" s="29"/>
      <c r="J342" s="38"/>
      <c r="K342" s="48"/>
      <c r="L342" s="38" t="s">
        <v>3513</v>
      </c>
      <c r="M342" s="38" t="s">
        <v>3514</v>
      </c>
      <c r="N342" s="29"/>
      <c r="O342" s="38" t="s">
        <v>3515</v>
      </c>
      <c r="P342" s="38" t="s">
        <v>3516</v>
      </c>
      <c r="Q342" s="38" t="s">
        <v>3580</v>
      </c>
      <c r="R342" s="38" t="s">
        <v>3581</v>
      </c>
      <c r="S342" s="48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1:30" ht="22.5" customHeight="1">
      <c r="A343" s="26">
        <v>3</v>
      </c>
      <c r="B343" s="26" t="s">
        <v>538</v>
      </c>
      <c r="C343" s="26">
        <v>36</v>
      </c>
      <c r="D343" s="29" t="s">
        <v>3431</v>
      </c>
      <c r="E343" s="31">
        <v>364</v>
      </c>
      <c r="F343" s="31" t="s">
        <v>3468</v>
      </c>
      <c r="G343" s="110"/>
      <c r="H343" s="88" t="s">
        <v>3582</v>
      </c>
      <c r="I343" s="29"/>
      <c r="J343" s="38"/>
      <c r="K343" s="48"/>
      <c r="L343" s="38" t="s">
        <v>3513</v>
      </c>
      <c r="M343" s="38" t="s">
        <v>3514</v>
      </c>
      <c r="N343" s="29"/>
      <c r="O343" s="38" t="s">
        <v>3515</v>
      </c>
      <c r="P343" s="38" t="s">
        <v>3516</v>
      </c>
      <c r="Q343" s="38" t="s">
        <v>3583</v>
      </c>
      <c r="R343" s="38"/>
      <c r="S343" s="48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1:30" ht="22.5" customHeight="1">
      <c r="A344" s="26">
        <v>3</v>
      </c>
      <c r="B344" s="26" t="s">
        <v>538</v>
      </c>
      <c r="C344" s="26">
        <v>36</v>
      </c>
      <c r="D344" s="29" t="s">
        <v>3431</v>
      </c>
      <c r="E344" s="31">
        <v>364</v>
      </c>
      <c r="F344" s="31" t="s">
        <v>3468</v>
      </c>
      <c r="G344" s="110"/>
      <c r="H344" s="88" t="s">
        <v>3584</v>
      </c>
      <c r="I344" s="29"/>
      <c r="J344" s="38"/>
      <c r="K344" s="48"/>
      <c r="L344" s="38" t="s">
        <v>3585</v>
      </c>
      <c r="M344" s="38" t="s">
        <v>3584</v>
      </c>
      <c r="N344" s="29"/>
      <c r="O344" s="38" t="s">
        <v>3515</v>
      </c>
      <c r="P344" s="38" t="s">
        <v>3516</v>
      </c>
      <c r="Q344" s="38" t="s">
        <v>3588</v>
      </c>
      <c r="R344" s="38"/>
      <c r="S344" s="48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1:30" ht="22.5" customHeight="1">
      <c r="A345" s="26">
        <v>3</v>
      </c>
      <c r="B345" s="26" t="s">
        <v>538</v>
      </c>
      <c r="C345" s="26">
        <v>36</v>
      </c>
      <c r="D345" s="29" t="s">
        <v>3431</v>
      </c>
      <c r="E345" s="31">
        <v>364</v>
      </c>
      <c r="F345" s="31" t="s">
        <v>3468</v>
      </c>
      <c r="G345" s="110"/>
      <c r="H345" s="66" t="s">
        <v>3589</v>
      </c>
      <c r="I345" s="29"/>
      <c r="J345" s="38"/>
      <c r="K345" s="48"/>
      <c r="L345" s="38" t="s">
        <v>3590</v>
      </c>
      <c r="M345" s="38" t="s">
        <v>3591</v>
      </c>
      <c r="N345" s="29" t="s">
        <v>3592</v>
      </c>
      <c r="O345" s="38" t="s">
        <v>3593</v>
      </c>
      <c r="P345" s="38"/>
      <c r="Q345" s="38"/>
      <c r="R345" s="38"/>
      <c r="S345" s="48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1:30" ht="22.5" customHeight="1">
      <c r="A346" s="26">
        <v>3</v>
      </c>
      <c r="B346" s="26" t="s">
        <v>538</v>
      </c>
      <c r="C346" s="26">
        <v>36</v>
      </c>
      <c r="D346" s="29" t="s">
        <v>3431</v>
      </c>
      <c r="E346" s="31">
        <v>364</v>
      </c>
      <c r="F346" s="31" t="s">
        <v>3468</v>
      </c>
      <c r="G346" s="110"/>
      <c r="H346" s="66" t="s">
        <v>3594</v>
      </c>
      <c r="I346" s="28" t="s">
        <v>3595</v>
      </c>
      <c r="J346" s="42" t="s">
        <v>3596</v>
      </c>
      <c r="K346" s="48"/>
      <c r="L346" s="38" t="s">
        <v>1309</v>
      </c>
      <c r="M346" s="38" t="s">
        <v>1310</v>
      </c>
      <c r="N346" s="28" t="s">
        <v>1312</v>
      </c>
      <c r="O346" s="38" t="s">
        <v>3486</v>
      </c>
      <c r="P346" s="38"/>
      <c r="Q346" s="38"/>
      <c r="R346" s="38"/>
      <c r="S346" s="48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1:30" ht="22.5" customHeight="1">
      <c r="A347" s="26">
        <v>3</v>
      </c>
      <c r="B347" s="26" t="s">
        <v>538</v>
      </c>
      <c r="C347" s="26">
        <v>36</v>
      </c>
      <c r="D347" s="29" t="s">
        <v>3431</v>
      </c>
      <c r="E347" s="31">
        <v>364</v>
      </c>
      <c r="F347" s="31" t="s">
        <v>3468</v>
      </c>
      <c r="G347" s="110"/>
      <c r="H347" s="66" t="s">
        <v>3599</v>
      </c>
      <c r="I347" s="29" t="s">
        <v>3600</v>
      </c>
      <c r="J347" s="38"/>
      <c r="K347" s="48"/>
      <c r="L347" s="38" t="s">
        <v>1309</v>
      </c>
      <c r="M347" s="38" t="s">
        <v>1310</v>
      </c>
      <c r="N347" s="28" t="s">
        <v>1312</v>
      </c>
      <c r="O347" s="38" t="s">
        <v>3486</v>
      </c>
      <c r="P347" s="38"/>
      <c r="Q347" s="38"/>
      <c r="R347" s="38"/>
      <c r="S347" s="48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1:30" ht="22.5" customHeight="1">
      <c r="A348" s="26">
        <v>3</v>
      </c>
      <c r="B348" s="26" t="s">
        <v>538</v>
      </c>
      <c r="C348" s="26">
        <v>36</v>
      </c>
      <c r="D348" s="29" t="s">
        <v>3431</v>
      </c>
      <c r="E348" s="31">
        <v>364</v>
      </c>
      <c r="F348" s="31" t="s">
        <v>3468</v>
      </c>
      <c r="G348" s="32"/>
      <c r="H348" s="50" t="s">
        <v>3601</v>
      </c>
      <c r="I348" s="40" t="s">
        <v>1051</v>
      </c>
      <c r="J348" s="42"/>
      <c r="K348" s="48"/>
      <c r="L348" s="42" t="s">
        <v>1053</v>
      </c>
      <c r="M348" s="42" t="s">
        <v>1054</v>
      </c>
      <c r="N348" s="40"/>
      <c r="O348" s="38" t="s">
        <v>3515</v>
      </c>
      <c r="P348" s="38" t="s">
        <v>3516</v>
      </c>
      <c r="Q348" s="38" t="s">
        <v>3602</v>
      </c>
      <c r="R348" s="38"/>
      <c r="S348" s="48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1:30" ht="22.5" customHeight="1">
      <c r="A349" s="26">
        <v>3</v>
      </c>
      <c r="B349" s="26" t="s">
        <v>538</v>
      </c>
      <c r="C349" s="26">
        <v>36</v>
      </c>
      <c r="D349" s="29" t="s">
        <v>3431</v>
      </c>
      <c r="E349" s="31">
        <v>364</v>
      </c>
      <c r="F349" s="31" t="s">
        <v>3468</v>
      </c>
      <c r="G349" s="110"/>
      <c r="H349" s="88" t="s">
        <v>3603</v>
      </c>
      <c r="I349" s="29" t="s">
        <v>3604</v>
      </c>
      <c r="J349" s="38" t="s">
        <v>3605</v>
      </c>
      <c r="K349" s="48"/>
      <c r="L349" s="38" t="s">
        <v>3607</v>
      </c>
      <c r="M349" s="38" t="s">
        <v>3608</v>
      </c>
      <c r="N349" s="29" t="s">
        <v>3609</v>
      </c>
      <c r="O349" s="38" t="s">
        <v>3486</v>
      </c>
      <c r="P349" s="38" t="s">
        <v>3487</v>
      </c>
      <c r="Q349" s="38" t="s">
        <v>3504</v>
      </c>
      <c r="R349" s="38" t="s">
        <v>3610</v>
      </c>
      <c r="S349" s="48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1:30" ht="22.5" customHeight="1">
      <c r="A350" s="26">
        <v>3</v>
      </c>
      <c r="B350" s="26" t="s">
        <v>538</v>
      </c>
      <c r="C350" s="26">
        <v>36</v>
      </c>
      <c r="D350" s="29" t="s">
        <v>3431</v>
      </c>
      <c r="E350" s="31">
        <v>364</v>
      </c>
      <c r="F350" s="31" t="s">
        <v>3468</v>
      </c>
      <c r="G350" s="110"/>
      <c r="H350" s="66" t="s">
        <v>3611</v>
      </c>
      <c r="I350" s="29"/>
      <c r="J350" s="38" t="s">
        <v>3605</v>
      </c>
      <c r="K350" s="48"/>
      <c r="L350" s="38" t="s">
        <v>3607</v>
      </c>
      <c r="M350" s="38" t="s">
        <v>3608</v>
      </c>
      <c r="N350" s="29" t="s">
        <v>3609</v>
      </c>
      <c r="O350" s="38" t="s">
        <v>3486</v>
      </c>
      <c r="P350" s="38" t="s">
        <v>3487</v>
      </c>
      <c r="Q350" s="38" t="s">
        <v>3614</v>
      </c>
      <c r="R350" s="38" t="s">
        <v>3610</v>
      </c>
      <c r="S350" s="48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1:30" ht="22.5" customHeight="1">
      <c r="A351" s="26">
        <v>3</v>
      </c>
      <c r="B351" s="26" t="s">
        <v>538</v>
      </c>
      <c r="C351" s="26">
        <v>36</v>
      </c>
      <c r="D351" s="29" t="s">
        <v>3431</v>
      </c>
      <c r="E351" s="31">
        <v>364</v>
      </c>
      <c r="F351" s="31" t="s">
        <v>3468</v>
      </c>
      <c r="G351" s="110"/>
      <c r="H351" s="66" t="s">
        <v>3615</v>
      </c>
      <c r="I351" s="29"/>
      <c r="J351" s="38" t="s">
        <v>3605</v>
      </c>
      <c r="K351" s="48"/>
      <c r="L351" s="38" t="s">
        <v>3607</v>
      </c>
      <c r="M351" s="38" t="s">
        <v>3608</v>
      </c>
      <c r="N351" s="29" t="s">
        <v>3609</v>
      </c>
      <c r="O351" s="38" t="s">
        <v>3486</v>
      </c>
      <c r="P351" s="38" t="s">
        <v>3487</v>
      </c>
      <c r="Q351" s="38" t="s">
        <v>3488</v>
      </c>
      <c r="R351" s="38" t="s">
        <v>3610</v>
      </c>
      <c r="S351" s="48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1:30" ht="22.5" customHeight="1">
      <c r="A352" s="26">
        <v>3</v>
      </c>
      <c r="B352" s="26" t="s">
        <v>538</v>
      </c>
      <c r="C352" s="26">
        <v>36</v>
      </c>
      <c r="D352" s="29" t="s">
        <v>3431</v>
      </c>
      <c r="E352" s="31">
        <v>364</v>
      </c>
      <c r="F352" s="31" t="s">
        <v>3468</v>
      </c>
      <c r="G352" s="110"/>
      <c r="H352" s="66" t="s">
        <v>3616</v>
      </c>
      <c r="I352" s="29"/>
      <c r="J352" s="38" t="s">
        <v>3605</v>
      </c>
      <c r="K352" s="48"/>
      <c r="L352" s="38" t="s">
        <v>3607</v>
      </c>
      <c r="M352" s="38" t="s">
        <v>3608</v>
      </c>
      <c r="N352" s="29" t="s">
        <v>3618</v>
      </c>
      <c r="O352" s="38" t="s">
        <v>3486</v>
      </c>
      <c r="P352" s="38" t="s">
        <v>3487</v>
      </c>
      <c r="Q352" s="38" t="s">
        <v>3488</v>
      </c>
      <c r="R352" s="38" t="s">
        <v>3610</v>
      </c>
      <c r="S352" s="48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1:30" ht="22.5" customHeight="1">
      <c r="A353" s="26">
        <v>3</v>
      </c>
      <c r="B353" s="26" t="s">
        <v>538</v>
      </c>
      <c r="C353" s="26">
        <v>36</v>
      </c>
      <c r="D353" s="29" t="s">
        <v>3431</v>
      </c>
      <c r="E353" s="31">
        <v>364</v>
      </c>
      <c r="F353" s="31" t="s">
        <v>3468</v>
      </c>
      <c r="G353" s="110"/>
      <c r="H353" s="66" t="s">
        <v>3619</v>
      </c>
      <c r="I353" s="29" t="s">
        <v>3620</v>
      </c>
      <c r="J353" s="38" t="s">
        <v>3605</v>
      </c>
      <c r="K353" s="48"/>
      <c r="L353" s="38" t="s">
        <v>3607</v>
      </c>
      <c r="M353" s="38" t="s">
        <v>3608</v>
      </c>
      <c r="N353" s="29" t="s">
        <v>3609</v>
      </c>
      <c r="O353" s="38" t="s">
        <v>3486</v>
      </c>
      <c r="P353" s="38" t="s">
        <v>3487</v>
      </c>
      <c r="Q353" s="38" t="s">
        <v>3494</v>
      </c>
      <c r="R353" s="38" t="s">
        <v>3610</v>
      </c>
      <c r="S353" s="48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1:30" ht="22.5" customHeight="1">
      <c r="A354" s="26">
        <v>3</v>
      </c>
      <c r="B354" s="26" t="s">
        <v>538</v>
      </c>
      <c r="C354" s="26">
        <v>36</v>
      </c>
      <c r="D354" s="29" t="s">
        <v>3431</v>
      </c>
      <c r="E354" s="31">
        <v>364</v>
      </c>
      <c r="F354" s="31" t="s">
        <v>3468</v>
      </c>
      <c r="G354" s="110"/>
      <c r="H354" s="88" t="s">
        <v>3622</v>
      </c>
      <c r="I354" s="29" t="s">
        <v>3478</v>
      </c>
      <c r="J354" s="38" t="s">
        <v>3623</v>
      </c>
      <c r="K354" s="48"/>
      <c r="L354" s="38" t="s">
        <v>3479</v>
      </c>
      <c r="M354" s="38" t="s">
        <v>3480</v>
      </c>
      <c r="N354" s="29" t="s">
        <v>3624</v>
      </c>
      <c r="O354" s="38" t="s">
        <v>3481</v>
      </c>
      <c r="P354" s="38" t="s">
        <v>3482</v>
      </c>
      <c r="Q354" s="38" t="s">
        <v>3483</v>
      </c>
      <c r="R354" s="38"/>
      <c r="S354" s="48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1:30" ht="22.5" customHeight="1">
      <c r="A355" s="26">
        <v>3</v>
      </c>
      <c r="B355" s="26" t="s">
        <v>538</v>
      </c>
      <c r="C355" s="26">
        <v>36</v>
      </c>
      <c r="D355" s="29" t="s">
        <v>3431</v>
      </c>
      <c r="E355" s="31">
        <v>364</v>
      </c>
      <c r="F355" s="31" t="s">
        <v>3468</v>
      </c>
      <c r="G355" s="110"/>
      <c r="H355" s="88" t="s">
        <v>3624</v>
      </c>
      <c r="I355" s="29" t="s">
        <v>3625</v>
      </c>
      <c r="J355" s="38" t="s">
        <v>3623</v>
      </c>
      <c r="K355" s="48"/>
      <c r="L355" s="38" t="s">
        <v>3479</v>
      </c>
      <c r="M355" s="38" t="s">
        <v>3480</v>
      </c>
      <c r="N355" s="29" t="s">
        <v>3624</v>
      </c>
      <c r="O355" s="38" t="s">
        <v>3481</v>
      </c>
      <c r="P355" s="38" t="s">
        <v>3482</v>
      </c>
      <c r="Q355" s="38" t="s">
        <v>3483</v>
      </c>
      <c r="R355" s="38"/>
      <c r="S355" s="48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1:30" ht="22.5" customHeight="1">
      <c r="A356" s="26">
        <v>3</v>
      </c>
      <c r="B356" s="26" t="s">
        <v>538</v>
      </c>
      <c r="C356" s="26">
        <v>36</v>
      </c>
      <c r="D356" s="29" t="s">
        <v>3431</v>
      </c>
      <c r="E356" s="31">
        <v>364</v>
      </c>
      <c r="F356" s="31" t="s">
        <v>3468</v>
      </c>
      <c r="G356" s="110"/>
      <c r="H356" s="66" t="s">
        <v>3628</v>
      </c>
      <c r="I356" s="29" t="s">
        <v>3629</v>
      </c>
      <c r="J356" s="38" t="s">
        <v>3630</v>
      </c>
      <c r="K356" s="48"/>
      <c r="L356" s="38" t="s">
        <v>3631</v>
      </c>
      <c r="M356" s="38" t="s">
        <v>3632</v>
      </c>
      <c r="N356" s="29"/>
      <c r="O356" s="38" t="s">
        <v>3472</v>
      </c>
      <c r="P356" s="38" t="s">
        <v>3473</v>
      </c>
      <c r="Q356" s="38" t="s">
        <v>3633</v>
      </c>
      <c r="R356" s="38"/>
      <c r="S356" s="48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1:30" ht="22.5" customHeight="1">
      <c r="A357" s="26">
        <v>3</v>
      </c>
      <c r="B357" s="26" t="s">
        <v>538</v>
      </c>
      <c r="C357" s="26">
        <v>36</v>
      </c>
      <c r="D357" s="29" t="s">
        <v>3431</v>
      </c>
      <c r="E357" s="31">
        <v>364</v>
      </c>
      <c r="F357" s="31" t="s">
        <v>3468</v>
      </c>
      <c r="G357" s="110"/>
      <c r="H357" s="66" t="s">
        <v>3634</v>
      </c>
      <c r="I357" s="29" t="s">
        <v>3635</v>
      </c>
      <c r="J357" s="38"/>
      <c r="K357" s="48"/>
      <c r="L357" s="38" t="s">
        <v>3631</v>
      </c>
      <c r="M357" s="38" t="s">
        <v>3632</v>
      </c>
      <c r="N357" s="29"/>
      <c r="O357" s="38" t="s">
        <v>3472</v>
      </c>
      <c r="P357" s="38" t="s">
        <v>3473</v>
      </c>
      <c r="Q357" s="38" t="s">
        <v>3633</v>
      </c>
      <c r="R357" s="38"/>
      <c r="S357" s="48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1:30" ht="22.5" customHeight="1">
      <c r="A358" s="26">
        <v>3</v>
      </c>
      <c r="B358" s="26" t="s">
        <v>538</v>
      </c>
      <c r="C358" s="26">
        <v>36</v>
      </c>
      <c r="D358" s="29" t="s">
        <v>3431</v>
      </c>
      <c r="E358" s="31">
        <v>365</v>
      </c>
      <c r="F358" s="31" t="s">
        <v>3637</v>
      </c>
      <c r="G358" s="110"/>
      <c r="H358" s="88" t="s">
        <v>3638</v>
      </c>
      <c r="I358" s="29"/>
      <c r="J358" s="38" t="s">
        <v>3639</v>
      </c>
      <c r="K358" s="48"/>
      <c r="L358" s="38" t="s">
        <v>3640</v>
      </c>
      <c r="M358" s="38" t="s">
        <v>3638</v>
      </c>
      <c r="N358" s="29"/>
      <c r="O358" s="38" t="s">
        <v>3385</v>
      </c>
      <c r="P358" s="38"/>
      <c r="Q358" s="38"/>
      <c r="R358" s="38"/>
      <c r="S358" s="48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1:30" ht="22.5" customHeight="1">
      <c r="A359" s="26">
        <v>3</v>
      </c>
      <c r="B359" s="26" t="s">
        <v>538</v>
      </c>
      <c r="C359" s="26">
        <v>36</v>
      </c>
      <c r="D359" s="29" t="s">
        <v>3431</v>
      </c>
      <c r="E359" s="31">
        <v>365</v>
      </c>
      <c r="F359" s="31" t="s">
        <v>3637</v>
      </c>
      <c r="G359" s="110"/>
      <c r="H359" s="88" t="s">
        <v>3641</v>
      </c>
      <c r="I359" s="29" t="s">
        <v>3642</v>
      </c>
      <c r="J359" s="85" t="s">
        <v>3643</v>
      </c>
      <c r="K359" s="48"/>
      <c r="L359" s="38" t="s">
        <v>1872</v>
      </c>
      <c r="M359" s="38" t="s">
        <v>3644</v>
      </c>
      <c r="N359" s="29"/>
      <c r="O359" s="38" t="s">
        <v>1877</v>
      </c>
      <c r="P359" s="38" t="s">
        <v>1878</v>
      </c>
      <c r="Q359" s="38" t="s">
        <v>3645</v>
      </c>
      <c r="R359" s="38" t="s">
        <v>3646</v>
      </c>
      <c r="S359" s="48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1:30" ht="22.5" customHeight="1">
      <c r="A360" s="26">
        <v>3</v>
      </c>
      <c r="B360" s="26" t="s">
        <v>538</v>
      </c>
      <c r="C360" s="26">
        <v>36</v>
      </c>
      <c r="D360" s="29" t="s">
        <v>3431</v>
      </c>
      <c r="E360" s="31">
        <v>365</v>
      </c>
      <c r="F360" s="31" t="s">
        <v>3637</v>
      </c>
      <c r="G360" s="110"/>
      <c r="H360" s="88" t="s">
        <v>3647</v>
      </c>
      <c r="I360" s="29" t="s">
        <v>3648</v>
      </c>
      <c r="J360" s="38"/>
      <c r="K360" s="48"/>
      <c r="L360" s="38" t="s">
        <v>3649</v>
      </c>
      <c r="M360" s="38" t="s">
        <v>3650</v>
      </c>
      <c r="N360" s="29" t="s">
        <v>3651</v>
      </c>
      <c r="O360" s="38" t="s">
        <v>3652</v>
      </c>
      <c r="P360" s="38" t="s">
        <v>3653</v>
      </c>
      <c r="Q360" s="38" t="s">
        <v>3654</v>
      </c>
      <c r="R360" s="38"/>
      <c r="S360" s="48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1:30" ht="22.5" customHeight="1">
      <c r="A361" s="26">
        <v>3</v>
      </c>
      <c r="B361" s="26" t="s">
        <v>538</v>
      </c>
      <c r="C361" s="26">
        <v>36</v>
      </c>
      <c r="D361" s="29" t="s">
        <v>3431</v>
      </c>
      <c r="E361" s="31">
        <v>365</v>
      </c>
      <c r="F361" s="31" t="s">
        <v>3637</v>
      </c>
      <c r="G361" s="110"/>
      <c r="H361" s="88" t="s">
        <v>3655</v>
      </c>
      <c r="I361" s="29" t="s">
        <v>3656</v>
      </c>
      <c r="J361" s="38"/>
      <c r="K361" s="48"/>
      <c r="L361" s="38" t="s">
        <v>3000</v>
      </c>
      <c r="M361" s="38" t="s">
        <v>3657</v>
      </c>
      <c r="N361" s="29" t="s">
        <v>3658</v>
      </c>
      <c r="O361" s="38" t="s">
        <v>3652</v>
      </c>
      <c r="P361" s="38" t="s">
        <v>3653</v>
      </c>
      <c r="Q361" s="38" t="s">
        <v>3659</v>
      </c>
      <c r="R361" s="38"/>
      <c r="S361" s="48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1:30" ht="22.5" customHeight="1">
      <c r="A362" s="26">
        <v>3</v>
      </c>
      <c r="B362" s="26" t="s">
        <v>538</v>
      </c>
      <c r="C362" s="26">
        <v>36</v>
      </c>
      <c r="D362" s="29" t="s">
        <v>3431</v>
      </c>
      <c r="E362" s="31">
        <v>365</v>
      </c>
      <c r="F362" s="31" t="s">
        <v>3637</v>
      </c>
      <c r="G362" s="110"/>
      <c r="H362" s="66" t="s">
        <v>3661</v>
      </c>
      <c r="I362" s="29" t="s">
        <v>3662</v>
      </c>
      <c r="J362" s="38"/>
      <c r="K362" s="48"/>
      <c r="L362" s="38" t="s">
        <v>3000</v>
      </c>
      <c r="M362" s="38" t="s">
        <v>3657</v>
      </c>
      <c r="N362" s="29" t="s">
        <v>3658</v>
      </c>
      <c r="O362" s="38" t="s">
        <v>3652</v>
      </c>
      <c r="P362" s="38" t="s">
        <v>3653</v>
      </c>
      <c r="Q362" s="38" t="s">
        <v>3663</v>
      </c>
      <c r="R362" s="38"/>
      <c r="S362" s="48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1:30" ht="22.5" customHeight="1">
      <c r="A363" s="26">
        <v>3</v>
      </c>
      <c r="B363" s="26" t="s">
        <v>538</v>
      </c>
      <c r="C363" s="26">
        <v>36</v>
      </c>
      <c r="D363" s="29" t="s">
        <v>3431</v>
      </c>
      <c r="E363" s="31">
        <v>365</v>
      </c>
      <c r="F363" s="31" t="s">
        <v>3637</v>
      </c>
      <c r="G363" s="110"/>
      <c r="H363" s="88" t="s">
        <v>3664</v>
      </c>
      <c r="I363" s="29"/>
      <c r="J363" s="38" t="s">
        <v>3665</v>
      </c>
      <c r="K363" s="48"/>
      <c r="L363" s="38" t="s">
        <v>3666</v>
      </c>
      <c r="M363" s="38" t="s">
        <v>3667</v>
      </c>
      <c r="N363" s="29" t="s">
        <v>3668</v>
      </c>
      <c r="O363" s="38" t="s">
        <v>3481</v>
      </c>
      <c r="P363" s="38" t="s">
        <v>3482</v>
      </c>
      <c r="Q363" s="38" t="s">
        <v>3483</v>
      </c>
      <c r="R363" s="38"/>
      <c r="S363" s="48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1:30" ht="22.5" customHeight="1">
      <c r="A364" s="26">
        <v>3</v>
      </c>
      <c r="B364" s="26" t="s">
        <v>538</v>
      </c>
      <c r="C364" s="26">
        <v>36</v>
      </c>
      <c r="D364" s="29" t="s">
        <v>3431</v>
      </c>
      <c r="E364" s="31">
        <v>365</v>
      </c>
      <c r="F364" s="31" t="s">
        <v>3637</v>
      </c>
      <c r="G364" s="32"/>
      <c r="H364" s="88" t="s">
        <v>3670</v>
      </c>
      <c r="I364" s="40"/>
      <c r="J364" s="42"/>
      <c r="K364" s="48"/>
      <c r="L364" s="38" t="s">
        <v>3671</v>
      </c>
      <c r="M364" s="38" t="s">
        <v>3672</v>
      </c>
      <c r="N364" s="29" t="s">
        <v>3670</v>
      </c>
      <c r="O364" s="38" t="s">
        <v>2497</v>
      </c>
      <c r="P364" s="38" t="s">
        <v>2499</v>
      </c>
      <c r="Q364" s="38" t="s">
        <v>3673</v>
      </c>
      <c r="R364" s="38" t="s">
        <v>3674</v>
      </c>
      <c r="S364" s="48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1:30" ht="22.5" customHeight="1">
      <c r="A365" s="26">
        <v>3</v>
      </c>
      <c r="B365" s="26" t="s">
        <v>538</v>
      </c>
      <c r="C365" s="26">
        <v>36</v>
      </c>
      <c r="D365" s="29" t="s">
        <v>3431</v>
      </c>
      <c r="E365" s="31">
        <v>365</v>
      </c>
      <c r="F365" s="31" t="s">
        <v>3637</v>
      </c>
      <c r="G365" s="110"/>
      <c r="H365" s="88" t="s">
        <v>3675</v>
      </c>
      <c r="I365" s="29" t="s">
        <v>3676</v>
      </c>
      <c r="J365" s="38" t="s">
        <v>3677</v>
      </c>
      <c r="K365" s="48"/>
      <c r="L365" s="38" t="s">
        <v>3678</v>
      </c>
      <c r="M365" s="38" t="s">
        <v>3679</v>
      </c>
      <c r="N365" s="29"/>
      <c r="O365" s="38" t="s">
        <v>3481</v>
      </c>
      <c r="P365" s="38" t="s">
        <v>3482</v>
      </c>
      <c r="Q365" s="38" t="s">
        <v>3483</v>
      </c>
      <c r="R365" s="38"/>
      <c r="S365" s="48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1:30" ht="22.5" customHeight="1">
      <c r="A366" s="26">
        <v>3</v>
      </c>
      <c r="B366" s="26" t="s">
        <v>538</v>
      </c>
      <c r="C366" s="26">
        <v>36</v>
      </c>
      <c r="D366" s="29" t="s">
        <v>3431</v>
      </c>
      <c r="E366" s="31">
        <v>365</v>
      </c>
      <c r="F366" s="31" t="s">
        <v>3637</v>
      </c>
      <c r="G366" s="110"/>
      <c r="H366" s="66" t="s">
        <v>3681</v>
      </c>
      <c r="I366" s="28" t="s">
        <v>3682</v>
      </c>
      <c r="J366" s="38" t="s">
        <v>3677</v>
      </c>
      <c r="K366" s="48"/>
      <c r="L366" s="38" t="s">
        <v>3678</v>
      </c>
      <c r="M366" s="38" t="s">
        <v>3679</v>
      </c>
      <c r="N366" s="29"/>
      <c r="O366" s="38" t="s">
        <v>3481</v>
      </c>
      <c r="P366" s="38" t="s">
        <v>3482</v>
      </c>
      <c r="Q366" s="38" t="s">
        <v>3683</v>
      </c>
      <c r="R366" s="38"/>
      <c r="S366" s="48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1:30" ht="22.5" customHeight="1">
      <c r="A367" s="26">
        <v>3</v>
      </c>
      <c r="B367" s="26" t="s">
        <v>538</v>
      </c>
      <c r="C367" s="26">
        <v>36</v>
      </c>
      <c r="D367" s="29" t="s">
        <v>3431</v>
      </c>
      <c r="E367" s="31">
        <v>365</v>
      </c>
      <c r="F367" s="31" t="s">
        <v>3637</v>
      </c>
      <c r="G367" s="110"/>
      <c r="H367" s="88" t="s">
        <v>3685</v>
      </c>
      <c r="I367" s="29" t="s">
        <v>3686</v>
      </c>
      <c r="J367" s="38" t="s">
        <v>3687</v>
      </c>
      <c r="K367" s="48"/>
      <c r="L367" s="38" t="s">
        <v>3688</v>
      </c>
      <c r="M367" s="38" t="s">
        <v>3689</v>
      </c>
      <c r="N367" s="29"/>
      <c r="O367" s="38" t="s">
        <v>3690</v>
      </c>
      <c r="P367" s="38" t="s">
        <v>3691</v>
      </c>
      <c r="Q367" s="38" t="s">
        <v>3692</v>
      </c>
      <c r="R367" s="38"/>
      <c r="S367" s="48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1:30" ht="22.5" customHeight="1">
      <c r="A368" s="26">
        <v>3</v>
      </c>
      <c r="B368" s="26" t="s">
        <v>538</v>
      </c>
      <c r="C368" s="26">
        <v>36</v>
      </c>
      <c r="D368" s="29" t="s">
        <v>3431</v>
      </c>
      <c r="E368" s="31">
        <v>365</v>
      </c>
      <c r="F368" s="31" t="s">
        <v>3637</v>
      </c>
      <c r="G368" s="110"/>
      <c r="H368" s="88" t="s">
        <v>3693</v>
      </c>
      <c r="I368" s="29"/>
      <c r="J368" s="38" t="s">
        <v>3694</v>
      </c>
      <c r="K368" s="48"/>
      <c r="L368" s="38" t="s">
        <v>3695</v>
      </c>
      <c r="M368" s="38" t="s">
        <v>3696</v>
      </c>
      <c r="N368" s="29"/>
      <c r="O368" s="38" t="s">
        <v>2497</v>
      </c>
      <c r="P368" s="38" t="s">
        <v>2499</v>
      </c>
      <c r="Q368" s="38" t="s">
        <v>3673</v>
      </c>
      <c r="R368" s="38"/>
      <c r="S368" s="48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1:30" ht="22.5" customHeight="1">
      <c r="A369" s="26">
        <v>3</v>
      </c>
      <c r="B369" s="26" t="s">
        <v>538</v>
      </c>
      <c r="C369" s="26">
        <v>36</v>
      </c>
      <c r="D369" s="29" t="s">
        <v>3431</v>
      </c>
      <c r="E369" s="31">
        <v>365</v>
      </c>
      <c r="F369" s="31" t="s">
        <v>3637</v>
      </c>
      <c r="G369" s="110"/>
      <c r="H369" s="66" t="s">
        <v>3698</v>
      </c>
      <c r="I369" s="29" t="s">
        <v>3699</v>
      </c>
      <c r="J369" s="38"/>
      <c r="K369" s="48"/>
      <c r="L369" s="38" t="s">
        <v>3700</v>
      </c>
      <c r="M369" s="38" t="s">
        <v>3701</v>
      </c>
      <c r="N369" s="29" t="s">
        <v>3702</v>
      </c>
      <c r="O369" s="38" t="s">
        <v>3003</v>
      </c>
      <c r="P369" s="38" t="s">
        <v>3703</v>
      </c>
      <c r="Q369" s="38" t="s">
        <v>3704</v>
      </c>
      <c r="R369" s="38"/>
      <c r="S369" s="48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1:30" ht="22.5" customHeight="1">
      <c r="A370" s="26">
        <v>3</v>
      </c>
      <c r="B370" s="26" t="s">
        <v>538</v>
      </c>
      <c r="C370" s="26">
        <v>36</v>
      </c>
      <c r="D370" s="29" t="s">
        <v>3431</v>
      </c>
      <c r="E370" s="31">
        <v>365</v>
      </c>
      <c r="F370" s="31" t="s">
        <v>3637</v>
      </c>
      <c r="G370" s="110"/>
      <c r="H370" s="66" t="s">
        <v>3706</v>
      </c>
      <c r="I370" s="29" t="s">
        <v>3707</v>
      </c>
      <c r="J370" s="38"/>
      <c r="K370" s="48"/>
      <c r="L370" s="38" t="s">
        <v>3700</v>
      </c>
      <c r="M370" s="38" t="s">
        <v>3701</v>
      </c>
      <c r="N370" s="29" t="s">
        <v>3707</v>
      </c>
      <c r="O370" s="38" t="s">
        <v>3003</v>
      </c>
      <c r="P370" s="38" t="s">
        <v>3703</v>
      </c>
      <c r="Q370" s="38" t="s">
        <v>3708</v>
      </c>
      <c r="R370" s="38"/>
      <c r="S370" s="48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1:30" ht="22.5" customHeight="1">
      <c r="A371" s="26">
        <v>3</v>
      </c>
      <c r="B371" s="26" t="s">
        <v>538</v>
      </c>
      <c r="C371" s="26">
        <v>36</v>
      </c>
      <c r="D371" s="29" t="s">
        <v>3431</v>
      </c>
      <c r="E371" s="31">
        <v>365</v>
      </c>
      <c r="F371" s="31" t="s">
        <v>3637</v>
      </c>
      <c r="G371" s="110"/>
      <c r="H371" s="66" t="s">
        <v>3709</v>
      </c>
      <c r="I371" s="29" t="s">
        <v>3710</v>
      </c>
      <c r="J371" s="38"/>
      <c r="K371" s="48"/>
      <c r="L371" s="38" t="s">
        <v>3700</v>
      </c>
      <c r="M371" s="38" t="s">
        <v>3701</v>
      </c>
      <c r="N371" s="29" t="s">
        <v>3711</v>
      </c>
      <c r="O371" s="38" t="s">
        <v>3003</v>
      </c>
      <c r="P371" s="38" t="s">
        <v>3703</v>
      </c>
      <c r="Q371" s="38" t="s">
        <v>3712</v>
      </c>
      <c r="R371" s="38"/>
      <c r="S371" s="48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1:30" ht="22.5" customHeight="1">
      <c r="A372" s="26">
        <v>3</v>
      </c>
      <c r="B372" s="26" t="s">
        <v>538</v>
      </c>
      <c r="C372" s="26">
        <v>36</v>
      </c>
      <c r="D372" s="29" t="s">
        <v>3431</v>
      </c>
      <c r="E372" s="31">
        <v>365</v>
      </c>
      <c r="F372" s="31" t="s">
        <v>3637</v>
      </c>
      <c r="G372" s="110"/>
      <c r="H372" s="66" t="s">
        <v>3713</v>
      </c>
      <c r="I372" s="29" t="s">
        <v>2537</v>
      </c>
      <c r="J372" s="38"/>
      <c r="K372" s="48"/>
      <c r="L372" s="38" t="s">
        <v>3000</v>
      </c>
      <c r="M372" s="38" t="s">
        <v>3657</v>
      </c>
      <c r="N372" s="29" t="s">
        <v>3658</v>
      </c>
      <c r="O372" s="38" t="s">
        <v>3715</v>
      </c>
      <c r="P372" s="38" t="s">
        <v>3716</v>
      </c>
      <c r="Q372" s="38" t="s">
        <v>3717</v>
      </c>
      <c r="R372" s="38"/>
      <c r="S372" s="48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1:30" ht="22.5" customHeight="1">
      <c r="A373" s="26">
        <v>3</v>
      </c>
      <c r="B373" s="26" t="s">
        <v>538</v>
      </c>
      <c r="C373" s="26">
        <v>36</v>
      </c>
      <c r="D373" s="29" t="s">
        <v>3431</v>
      </c>
      <c r="E373" s="31">
        <v>365</v>
      </c>
      <c r="F373" s="31" t="s">
        <v>3637</v>
      </c>
      <c r="G373" s="110"/>
      <c r="H373" s="66" t="s">
        <v>3718</v>
      </c>
      <c r="I373" s="29" t="s">
        <v>3719</v>
      </c>
      <c r="J373" s="38"/>
      <c r="K373" s="48"/>
      <c r="L373" s="38" t="s">
        <v>3000</v>
      </c>
      <c r="M373" s="38" t="s">
        <v>3657</v>
      </c>
      <c r="N373" s="29" t="s">
        <v>3658</v>
      </c>
      <c r="O373" s="38" t="s">
        <v>3715</v>
      </c>
      <c r="P373" s="38" t="s">
        <v>3716</v>
      </c>
      <c r="Q373" s="38" t="s">
        <v>3720</v>
      </c>
      <c r="R373" s="38"/>
      <c r="S373" s="48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1:30" ht="22.5" customHeight="1">
      <c r="A374" s="26">
        <v>3</v>
      </c>
      <c r="B374" s="26" t="s">
        <v>538</v>
      </c>
      <c r="C374" s="26">
        <v>36</v>
      </c>
      <c r="D374" s="29" t="s">
        <v>3431</v>
      </c>
      <c r="E374" s="31">
        <v>365</v>
      </c>
      <c r="F374" s="31" t="s">
        <v>3637</v>
      </c>
      <c r="G374" s="110"/>
      <c r="H374" s="66" t="s">
        <v>3721</v>
      </c>
      <c r="I374" s="29"/>
      <c r="J374" s="38" t="s">
        <v>3665</v>
      </c>
      <c r="K374" s="48"/>
      <c r="L374" s="38" t="s">
        <v>3722</v>
      </c>
      <c r="M374" s="38" t="s">
        <v>3723</v>
      </c>
      <c r="N374" s="29" t="s">
        <v>3724</v>
      </c>
      <c r="O374" s="38" t="s">
        <v>3593</v>
      </c>
      <c r="P374" s="38"/>
      <c r="Q374" s="38"/>
      <c r="R374" s="38" t="s">
        <v>3725</v>
      </c>
      <c r="S374" s="48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1:30" ht="22.5" customHeight="1">
      <c r="A375" s="26">
        <v>3</v>
      </c>
      <c r="B375" s="26" t="s">
        <v>538</v>
      </c>
      <c r="C375" s="26">
        <v>36</v>
      </c>
      <c r="D375" s="29" t="s">
        <v>3431</v>
      </c>
      <c r="E375" s="31">
        <v>365</v>
      </c>
      <c r="F375" s="31" t="s">
        <v>3637</v>
      </c>
      <c r="G375" s="110"/>
      <c r="H375" s="88" t="s">
        <v>3726</v>
      </c>
      <c r="I375" s="28" t="s">
        <v>3727</v>
      </c>
      <c r="J375" s="38" t="s">
        <v>3665</v>
      </c>
      <c r="K375" s="48"/>
      <c r="L375" s="38" t="s">
        <v>3722</v>
      </c>
      <c r="M375" s="38" t="s">
        <v>3723</v>
      </c>
      <c r="N375" s="29" t="s">
        <v>3726</v>
      </c>
      <c r="O375" s="38" t="s">
        <v>3593</v>
      </c>
      <c r="P375" s="38"/>
      <c r="Q375" s="38"/>
      <c r="R375" s="38" t="s">
        <v>3730</v>
      </c>
      <c r="S375" s="48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1:30" ht="22.5" customHeight="1">
      <c r="A376" s="26">
        <v>3</v>
      </c>
      <c r="B376" s="26" t="s">
        <v>538</v>
      </c>
      <c r="C376" s="26">
        <v>36</v>
      </c>
      <c r="D376" s="29" t="s">
        <v>3431</v>
      </c>
      <c r="E376" s="31">
        <v>365</v>
      </c>
      <c r="F376" s="31" t="s">
        <v>3637</v>
      </c>
      <c r="G376" s="110"/>
      <c r="H376" s="88" t="s">
        <v>3731</v>
      </c>
      <c r="I376" s="29"/>
      <c r="J376" s="38" t="s">
        <v>3665</v>
      </c>
      <c r="K376" s="48"/>
      <c r="L376" s="38" t="s">
        <v>3722</v>
      </c>
      <c r="M376" s="38" t="s">
        <v>3723</v>
      </c>
      <c r="N376" s="29" t="s">
        <v>3731</v>
      </c>
      <c r="O376" s="38" t="s">
        <v>3593</v>
      </c>
      <c r="P376" s="38"/>
      <c r="Q376" s="38"/>
      <c r="R376" s="38" t="s">
        <v>3732</v>
      </c>
      <c r="S376" s="48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1:30" ht="22.5" customHeight="1">
      <c r="A377" s="26">
        <v>3</v>
      </c>
      <c r="B377" s="26" t="s">
        <v>538</v>
      </c>
      <c r="C377" s="26">
        <v>36</v>
      </c>
      <c r="D377" s="29" t="s">
        <v>3431</v>
      </c>
      <c r="E377" s="31">
        <v>365</v>
      </c>
      <c r="F377" s="31" t="s">
        <v>3637</v>
      </c>
      <c r="G377" s="110"/>
      <c r="H377" s="115" t="s">
        <v>3734</v>
      </c>
      <c r="I377" s="29" t="s">
        <v>3736</v>
      </c>
      <c r="J377" s="38" t="s">
        <v>3665</v>
      </c>
      <c r="K377" s="48"/>
      <c r="L377" s="38" t="s">
        <v>3590</v>
      </c>
      <c r="M377" s="38" t="s">
        <v>3591</v>
      </c>
      <c r="N377" s="29" t="s">
        <v>3734</v>
      </c>
      <c r="O377" s="38" t="s">
        <v>3593</v>
      </c>
      <c r="P377" s="38"/>
      <c r="Q377" s="38"/>
      <c r="R377" s="38"/>
      <c r="S377" s="48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1:30" ht="22.5" customHeight="1">
      <c r="A378" s="26">
        <v>3</v>
      </c>
      <c r="B378" s="26" t="s">
        <v>538</v>
      </c>
      <c r="C378" s="26">
        <v>36</v>
      </c>
      <c r="D378" s="29" t="s">
        <v>3431</v>
      </c>
      <c r="E378" s="31">
        <v>366</v>
      </c>
      <c r="F378" s="31" t="s">
        <v>3737</v>
      </c>
      <c r="G378" s="29"/>
      <c r="H378" s="66" t="s">
        <v>3738</v>
      </c>
      <c r="I378" s="29" t="s">
        <v>3739</v>
      </c>
      <c r="J378" s="38" t="s">
        <v>3740</v>
      </c>
      <c r="K378" s="48"/>
      <c r="L378" s="38" t="s">
        <v>1186</v>
      </c>
      <c r="M378" s="38" t="s">
        <v>1032</v>
      </c>
      <c r="N378" s="29" t="s">
        <v>3741</v>
      </c>
      <c r="O378" s="38" t="s">
        <v>1034</v>
      </c>
      <c r="P378" s="38" t="s">
        <v>1035</v>
      </c>
      <c r="Q378" s="38" t="s">
        <v>1037</v>
      </c>
      <c r="R378" s="38"/>
      <c r="S378" s="48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1:30" ht="22.5" customHeight="1">
      <c r="A379" s="26">
        <v>3</v>
      </c>
      <c r="B379" s="26" t="s">
        <v>538</v>
      </c>
      <c r="C379" s="26">
        <v>36</v>
      </c>
      <c r="D379" s="29" t="s">
        <v>3431</v>
      </c>
      <c r="E379" s="31">
        <v>366</v>
      </c>
      <c r="F379" s="31" t="s">
        <v>3737</v>
      </c>
      <c r="G379" s="29"/>
      <c r="H379" s="66" t="s">
        <v>3743</v>
      </c>
      <c r="I379" s="29" t="s">
        <v>3744</v>
      </c>
      <c r="J379" s="38" t="s">
        <v>3740</v>
      </c>
      <c r="K379" s="48"/>
      <c r="L379" s="31" t="s">
        <v>1027</v>
      </c>
      <c r="M379" s="31" t="s">
        <v>1032</v>
      </c>
      <c r="N379" s="52" t="s">
        <v>1033</v>
      </c>
      <c r="O379" s="42" t="s">
        <v>1034</v>
      </c>
      <c r="P379" s="42" t="s">
        <v>1035</v>
      </c>
      <c r="Q379" s="42" t="s">
        <v>1037</v>
      </c>
      <c r="R379" s="38"/>
      <c r="S379" s="48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1:30" ht="22.5" customHeight="1">
      <c r="A380" s="26">
        <v>3</v>
      </c>
      <c r="B380" s="26" t="s">
        <v>538</v>
      </c>
      <c r="C380" s="26">
        <v>36</v>
      </c>
      <c r="D380" s="29" t="s">
        <v>3431</v>
      </c>
      <c r="E380" s="31" t="s">
        <v>3745</v>
      </c>
      <c r="F380" s="31" t="s">
        <v>913</v>
      </c>
      <c r="G380" s="32"/>
      <c r="H380" s="50" t="s">
        <v>3746</v>
      </c>
      <c r="I380" s="40" t="s">
        <v>3747</v>
      </c>
      <c r="J380" s="42"/>
      <c r="K380" s="48"/>
      <c r="L380" s="42" t="s">
        <v>1053</v>
      </c>
      <c r="M380" s="42" t="s">
        <v>1054</v>
      </c>
      <c r="N380" s="40"/>
      <c r="O380" s="38" t="s">
        <v>3515</v>
      </c>
      <c r="P380" s="38" t="s">
        <v>3516</v>
      </c>
      <c r="Q380" s="38" t="s">
        <v>3748</v>
      </c>
      <c r="R380" s="38"/>
      <c r="S380" s="48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1:30" ht="22.5" customHeight="1">
      <c r="A381" s="26">
        <v>3</v>
      </c>
      <c r="B381" s="26" t="s">
        <v>538</v>
      </c>
      <c r="C381" s="26">
        <v>37</v>
      </c>
      <c r="D381" s="29" t="s">
        <v>3749</v>
      </c>
      <c r="E381" s="31">
        <v>371</v>
      </c>
      <c r="F381" s="31" t="s">
        <v>3750</v>
      </c>
      <c r="G381" s="29"/>
      <c r="H381" s="66" t="s">
        <v>3751</v>
      </c>
      <c r="I381" s="29"/>
      <c r="J381" s="38" t="s">
        <v>552</v>
      </c>
      <c r="K381" s="48"/>
      <c r="L381" s="38" t="s">
        <v>565</v>
      </c>
      <c r="M381" s="42" t="s">
        <v>566</v>
      </c>
      <c r="N381" s="28" t="s">
        <v>567</v>
      </c>
      <c r="O381" s="38" t="s">
        <v>569</v>
      </c>
      <c r="P381" s="38" t="s">
        <v>571</v>
      </c>
      <c r="Q381" s="38" t="s">
        <v>573</v>
      </c>
      <c r="R381" s="38"/>
      <c r="S381" s="48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1:30" ht="22.5" customHeight="1">
      <c r="A382" s="26">
        <v>3</v>
      </c>
      <c r="B382" s="26" t="s">
        <v>538</v>
      </c>
      <c r="C382" s="26">
        <v>37</v>
      </c>
      <c r="D382" s="29" t="s">
        <v>3749</v>
      </c>
      <c r="E382" s="31">
        <v>371</v>
      </c>
      <c r="F382" s="31" t="s">
        <v>3750</v>
      </c>
      <c r="G382" s="29"/>
      <c r="H382" s="59" t="s">
        <v>3752</v>
      </c>
      <c r="I382" s="40"/>
      <c r="J382" s="42" t="s">
        <v>720</v>
      </c>
      <c r="K382" s="48"/>
      <c r="L382" s="38" t="s">
        <v>722</v>
      </c>
      <c r="M382" s="42" t="s">
        <v>724</v>
      </c>
      <c r="N382" s="28" t="s">
        <v>726</v>
      </c>
      <c r="O382" s="38" t="s">
        <v>569</v>
      </c>
      <c r="P382" s="38" t="s">
        <v>571</v>
      </c>
      <c r="Q382" s="38" t="s">
        <v>728</v>
      </c>
      <c r="R382" s="38"/>
      <c r="S382" s="48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1:30" ht="22.5" customHeight="1">
      <c r="A383" s="26">
        <v>3</v>
      </c>
      <c r="B383" s="26" t="s">
        <v>538</v>
      </c>
      <c r="C383" s="26">
        <v>37</v>
      </c>
      <c r="D383" s="29" t="s">
        <v>3749</v>
      </c>
      <c r="E383" s="31">
        <v>371</v>
      </c>
      <c r="F383" s="31" t="s">
        <v>3750</v>
      </c>
      <c r="G383" s="29"/>
      <c r="H383" s="66" t="s">
        <v>3754</v>
      </c>
      <c r="I383" s="29"/>
      <c r="J383" s="85" t="s">
        <v>1202</v>
      </c>
      <c r="K383" s="48"/>
      <c r="L383" s="38" t="s">
        <v>565</v>
      </c>
      <c r="M383" s="42" t="s">
        <v>566</v>
      </c>
      <c r="N383" s="29" t="s">
        <v>794</v>
      </c>
      <c r="O383" s="38" t="s">
        <v>569</v>
      </c>
      <c r="P383" s="38" t="s">
        <v>571</v>
      </c>
      <c r="Q383" s="38" t="s">
        <v>795</v>
      </c>
      <c r="R383" s="38" t="s">
        <v>796</v>
      </c>
      <c r="S383" s="48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1:30" ht="22.5" customHeight="1">
      <c r="A384" s="26">
        <v>3</v>
      </c>
      <c r="B384" s="26" t="s">
        <v>538</v>
      </c>
      <c r="C384" s="26">
        <v>37</v>
      </c>
      <c r="D384" s="29" t="s">
        <v>3749</v>
      </c>
      <c r="E384" s="31">
        <v>371</v>
      </c>
      <c r="F384" s="31" t="s">
        <v>3750</v>
      </c>
      <c r="G384" s="29"/>
      <c r="H384" s="59" t="s">
        <v>3755</v>
      </c>
      <c r="I384" s="40"/>
      <c r="J384" s="38" t="s">
        <v>808</v>
      </c>
      <c r="K384" s="48"/>
      <c r="L384" s="38" t="s">
        <v>722</v>
      </c>
      <c r="M384" s="42" t="s">
        <v>724</v>
      </c>
      <c r="N384" s="28" t="s">
        <v>726</v>
      </c>
      <c r="O384" s="38" t="s">
        <v>809</v>
      </c>
      <c r="P384" s="38" t="s">
        <v>810</v>
      </c>
      <c r="Q384" s="38" t="s">
        <v>811</v>
      </c>
      <c r="R384" s="38"/>
      <c r="S384" s="48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1:30" ht="22.5" customHeight="1">
      <c r="A385" s="26">
        <v>3</v>
      </c>
      <c r="B385" s="26" t="s">
        <v>538</v>
      </c>
      <c r="C385" s="26">
        <v>37</v>
      </c>
      <c r="D385" s="29" t="s">
        <v>3749</v>
      </c>
      <c r="E385" s="31">
        <v>371</v>
      </c>
      <c r="F385" s="31" t="s">
        <v>3750</v>
      </c>
      <c r="G385" s="29"/>
      <c r="H385" s="66" t="s">
        <v>3757</v>
      </c>
      <c r="I385" s="29"/>
      <c r="J385" s="38" t="s">
        <v>887</v>
      </c>
      <c r="K385" s="48"/>
      <c r="L385" s="38" t="s">
        <v>565</v>
      </c>
      <c r="M385" s="42" t="s">
        <v>566</v>
      </c>
      <c r="N385" s="29" t="s">
        <v>794</v>
      </c>
      <c r="O385" s="38" t="s">
        <v>569</v>
      </c>
      <c r="P385" s="38" t="s">
        <v>571</v>
      </c>
      <c r="Q385" s="38" t="s">
        <v>795</v>
      </c>
      <c r="R385" s="38" t="s">
        <v>910</v>
      </c>
      <c r="S385" s="48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1:30" ht="22.5" customHeight="1">
      <c r="A386" s="26">
        <v>3</v>
      </c>
      <c r="B386" s="26" t="s">
        <v>538</v>
      </c>
      <c r="C386" s="26">
        <v>37</v>
      </c>
      <c r="D386" s="29" t="s">
        <v>3749</v>
      </c>
      <c r="E386" s="31">
        <v>372</v>
      </c>
      <c r="F386" s="31" t="s">
        <v>3758</v>
      </c>
      <c r="G386" s="29"/>
      <c r="H386" s="66" t="s">
        <v>3759</v>
      </c>
      <c r="I386" s="29"/>
      <c r="J386" s="38" t="s">
        <v>552</v>
      </c>
      <c r="K386" s="48"/>
      <c r="L386" s="38" t="s">
        <v>565</v>
      </c>
      <c r="M386" s="42" t="s">
        <v>566</v>
      </c>
      <c r="N386" s="28" t="s">
        <v>567</v>
      </c>
      <c r="O386" s="38" t="s">
        <v>569</v>
      </c>
      <c r="P386" s="38" t="s">
        <v>571</v>
      </c>
      <c r="Q386" s="38" t="s">
        <v>573</v>
      </c>
      <c r="R386" s="38"/>
      <c r="S386" s="48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1:30" ht="22.5" customHeight="1">
      <c r="A387" s="26">
        <v>3</v>
      </c>
      <c r="B387" s="26" t="s">
        <v>538</v>
      </c>
      <c r="C387" s="26">
        <v>37</v>
      </c>
      <c r="D387" s="29" t="s">
        <v>3749</v>
      </c>
      <c r="E387" s="31">
        <v>372</v>
      </c>
      <c r="F387" s="31" t="s">
        <v>3758</v>
      </c>
      <c r="G387" s="29"/>
      <c r="H387" s="59" t="s">
        <v>3761</v>
      </c>
      <c r="I387" s="40"/>
      <c r="J387" s="42" t="s">
        <v>720</v>
      </c>
      <c r="K387" s="48"/>
      <c r="L387" s="38" t="s">
        <v>722</v>
      </c>
      <c r="M387" s="42" t="s">
        <v>724</v>
      </c>
      <c r="N387" s="28" t="s">
        <v>726</v>
      </c>
      <c r="O387" s="38" t="s">
        <v>569</v>
      </c>
      <c r="P387" s="38" t="s">
        <v>571</v>
      </c>
      <c r="Q387" s="38" t="s">
        <v>728</v>
      </c>
      <c r="R387" s="38"/>
      <c r="S387" s="48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1:30" ht="22.5" customHeight="1">
      <c r="A388" s="26">
        <v>3</v>
      </c>
      <c r="B388" s="26" t="s">
        <v>538</v>
      </c>
      <c r="C388" s="26">
        <v>37</v>
      </c>
      <c r="D388" s="29" t="s">
        <v>3749</v>
      </c>
      <c r="E388" s="31">
        <v>372</v>
      </c>
      <c r="F388" s="31" t="s">
        <v>3758</v>
      </c>
      <c r="G388" s="29"/>
      <c r="H388" s="66" t="s">
        <v>3762</v>
      </c>
      <c r="I388" s="29"/>
      <c r="J388" s="85" t="s">
        <v>1202</v>
      </c>
      <c r="K388" s="48"/>
      <c r="L388" s="38" t="s">
        <v>565</v>
      </c>
      <c r="M388" s="42" t="s">
        <v>566</v>
      </c>
      <c r="N388" s="29" t="s">
        <v>794</v>
      </c>
      <c r="O388" s="38" t="s">
        <v>569</v>
      </c>
      <c r="P388" s="38" t="s">
        <v>571</v>
      </c>
      <c r="Q388" s="38" t="s">
        <v>795</v>
      </c>
      <c r="R388" s="38" t="s">
        <v>796</v>
      </c>
      <c r="S388" s="48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1:30" ht="22.5" customHeight="1">
      <c r="A389" s="26">
        <v>3</v>
      </c>
      <c r="B389" s="26" t="s">
        <v>538</v>
      </c>
      <c r="C389" s="26">
        <v>37</v>
      </c>
      <c r="D389" s="29" t="s">
        <v>3749</v>
      </c>
      <c r="E389" s="31">
        <v>372</v>
      </c>
      <c r="F389" s="31" t="s">
        <v>3758</v>
      </c>
      <c r="G389" s="29"/>
      <c r="H389" s="59" t="s">
        <v>3764</v>
      </c>
      <c r="I389" s="40"/>
      <c r="J389" s="38" t="s">
        <v>808</v>
      </c>
      <c r="K389" s="48"/>
      <c r="L389" s="38" t="s">
        <v>722</v>
      </c>
      <c r="M389" s="42" t="s">
        <v>724</v>
      </c>
      <c r="N389" s="28" t="s">
        <v>726</v>
      </c>
      <c r="O389" s="38" t="s">
        <v>809</v>
      </c>
      <c r="P389" s="38" t="s">
        <v>810</v>
      </c>
      <c r="Q389" s="38" t="s">
        <v>811</v>
      </c>
      <c r="R389" s="38"/>
      <c r="S389" s="48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1:30" ht="22.5" customHeight="1">
      <c r="A390" s="26">
        <v>3</v>
      </c>
      <c r="B390" s="26" t="s">
        <v>538</v>
      </c>
      <c r="C390" s="26">
        <v>37</v>
      </c>
      <c r="D390" s="29" t="s">
        <v>3749</v>
      </c>
      <c r="E390" s="31">
        <v>372</v>
      </c>
      <c r="F390" s="31" t="s">
        <v>3758</v>
      </c>
      <c r="G390" s="29"/>
      <c r="H390" s="66" t="s">
        <v>3766</v>
      </c>
      <c r="I390" s="29"/>
      <c r="J390" s="38" t="s">
        <v>887</v>
      </c>
      <c r="K390" s="48"/>
      <c r="L390" s="38" t="s">
        <v>565</v>
      </c>
      <c r="M390" s="42" t="s">
        <v>566</v>
      </c>
      <c r="N390" s="29" t="s">
        <v>794</v>
      </c>
      <c r="O390" s="38" t="s">
        <v>569</v>
      </c>
      <c r="P390" s="38" t="s">
        <v>571</v>
      </c>
      <c r="Q390" s="38" t="s">
        <v>795</v>
      </c>
      <c r="R390" s="38" t="s">
        <v>910</v>
      </c>
      <c r="S390" s="48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1:30" ht="22.5" customHeight="1">
      <c r="A391" s="26">
        <v>3</v>
      </c>
      <c r="B391" s="26" t="s">
        <v>538</v>
      </c>
      <c r="C391" s="26">
        <v>37</v>
      </c>
      <c r="D391" s="29" t="s">
        <v>3749</v>
      </c>
      <c r="E391" s="31">
        <v>374</v>
      </c>
      <c r="F391" s="31" t="s">
        <v>3767</v>
      </c>
      <c r="G391" s="110"/>
      <c r="H391" s="66" t="s">
        <v>3768</v>
      </c>
      <c r="I391" s="29"/>
      <c r="J391" s="38" t="s">
        <v>3151</v>
      </c>
      <c r="K391" s="48"/>
      <c r="L391" s="38"/>
      <c r="M391" s="38"/>
      <c r="N391" s="29"/>
      <c r="O391" s="38" t="s">
        <v>3207</v>
      </c>
      <c r="P391" s="38"/>
      <c r="Q391" s="38"/>
      <c r="R391" s="38"/>
      <c r="S391" s="48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1:30" ht="22.5" customHeight="1">
      <c r="A392" s="26">
        <v>3</v>
      </c>
      <c r="B392" s="26" t="s">
        <v>538</v>
      </c>
      <c r="C392" s="26">
        <v>37</v>
      </c>
      <c r="D392" s="29" t="s">
        <v>3749</v>
      </c>
      <c r="E392" s="31">
        <v>374</v>
      </c>
      <c r="F392" s="31" t="s">
        <v>3767</v>
      </c>
      <c r="G392" s="110"/>
      <c r="H392" s="66" t="s">
        <v>3771</v>
      </c>
      <c r="I392" s="29"/>
      <c r="J392" s="38" t="s">
        <v>3253</v>
      </c>
      <c r="K392" s="48"/>
      <c r="L392" s="38"/>
      <c r="M392" s="38"/>
      <c r="N392" s="29"/>
      <c r="O392" s="38" t="s">
        <v>3254</v>
      </c>
      <c r="P392" s="38"/>
      <c r="Q392" s="38"/>
      <c r="R392" s="38"/>
      <c r="S392" s="48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1:30" ht="22.5" customHeight="1">
      <c r="A393" s="26">
        <v>3</v>
      </c>
      <c r="B393" s="26" t="s">
        <v>538</v>
      </c>
      <c r="C393" s="26">
        <v>37</v>
      </c>
      <c r="D393" s="29" t="s">
        <v>3749</v>
      </c>
      <c r="E393" s="31">
        <v>374</v>
      </c>
      <c r="F393" s="31" t="s">
        <v>3767</v>
      </c>
      <c r="G393" s="110"/>
      <c r="H393" s="66" t="s">
        <v>3772</v>
      </c>
      <c r="I393" s="29"/>
      <c r="J393" s="38" t="s">
        <v>3253</v>
      </c>
      <c r="K393" s="48"/>
      <c r="L393" s="38"/>
      <c r="M393" s="38"/>
      <c r="N393" s="29"/>
      <c r="O393" s="38" t="s">
        <v>3254</v>
      </c>
      <c r="P393" s="38"/>
      <c r="Q393" s="38"/>
      <c r="R393" s="38"/>
      <c r="S393" s="48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1:30" ht="22.5" customHeight="1">
      <c r="A394" s="26">
        <v>3</v>
      </c>
      <c r="B394" s="26" t="s">
        <v>538</v>
      </c>
      <c r="C394" s="26">
        <v>37</v>
      </c>
      <c r="D394" s="29" t="s">
        <v>3749</v>
      </c>
      <c r="E394" s="31">
        <v>375</v>
      </c>
      <c r="F394" s="31" t="s">
        <v>3773</v>
      </c>
      <c r="G394" s="29"/>
      <c r="H394" s="33" t="s">
        <v>3775</v>
      </c>
      <c r="I394" s="29"/>
      <c r="J394" s="38" t="s">
        <v>3398</v>
      </c>
      <c r="K394" s="48"/>
      <c r="L394" s="38" t="s">
        <v>3777</v>
      </c>
      <c r="M394" s="38" t="s">
        <v>3778</v>
      </c>
      <c r="N394" s="29"/>
      <c r="O394" s="38" t="s">
        <v>3779</v>
      </c>
      <c r="P394" s="38" t="s">
        <v>3780</v>
      </c>
      <c r="Q394" s="38" t="s">
        <v>3781</v>
      </c>
      <c r="R394" s="38"/>
      <c r="S394" s="48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1:30" ht="22.5" customHeight="1">
      <c r="A395" s="26">
        <v>3</v>
      </c>
      <c r="B395" s="26" t="s">
        <v>538</v>
      </c>
      <c r="C395" s="26">
        <v>37</v>
      </c>
      <c r="D395" s="29" t="s">
        <v>3749</v>
      </c>
      <c r="E395" s="31">
        <v>375</v>
      </c>
      <c r="F395" s="31" t="s">
        <v>3773</v>
      </c>
      <c r="G395" s="29"/>
      <c r="H395" s="33" t="s">
        <v>3782</v>
      </c>
      <c r="I395" s="29"/>
      <c r="J395" s="38" t="s">
        <v>3398</v>
      </c>
      <c r="K395" s="48"/>
      <c r="L395" s="38" t="s">
        <v>3777</v>
      </c>
      <c r="M395" s="38" t="s">
        <v>3778</v>
      </c>
      <c r="N395" s="29"/>
      <c r="O395" s="38" t="s">
        <v>3779</v>
      </c>
      <c r="P395" s="38" t="s">
        <v>3780</v>
      </c>
      <c r="Q395" s="38" t="s">
        <v>3783</v>
      </c>
      <c r="R395" s="38"/>
      <c r="S395" s="48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1:30" ht="22.5" customHeight="1">
      <c r="A396" s="26">
        <v>3</v>
      </c>
      <c r="B396" s="26" t="s">
        <v>538</v>
      </c>
      <c r="C396" s="26">
        <v>37</v>
      </c>
      <c r="D396" s="29" t="s">
        <v>3749</v>
      </c>
      <c r="E396" s="31">
        <v>375</v>
      </c>
      <c r="F396" s="31" t="s">
        <v>3773</v>
      </c>
      <c r="G396" s="29"/>
      <c r="H396" s="33" t="s">
        <v>3784</v>
      </c>
      <c r="I396" s="29"/>
      <c r="J396" s="38" t="s">
        <v>3398</v>
      </c>
      <c r="K396" s="48"/>
      <c r="L396" s="38" t="s">
        <v>3777</v>
      </c>
      <c r="M396" s="38" t="s">
        <v>3778</v>
      </c>
      <c r="N396" s="29"/>
      <c r="O396" s="38" t="s">
        <v>3779</v>
      </c>
      <c r="P396" s="38" t="s">
        <v>3780</v>
      </c>
      <c r="Q396" s="38" t="s">
        <v>3781</v>
      </c>
      <c r="R396" s="38"/>
      <c r="S396" s="48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1:30" ht="22.5" customHeight="1">
      <c r="A397" s="26">
        <v>3</v>
      </c>
      <c r="B397" s="26" t="s">
        <v>538</v>
      </c>
      <c r="C397" s="26">
        <v>37</v>
      </c>
      <c r="D397" s="29" t="s">
        <v>3749</v>
      </c>
      <c r="E397" s="31">
        <v>375</v>
      </c>
      <c r="F397" s="31" t="s">
        <v>3773</v>
      </c>
      <c r="G397" s="29"/>
      <c r="H397" s="33" t="s">
        <v>3786</v>
      </c>
      <c r="I397" s="29"/>
      <c r="J397" s="38" t="s">
        <v>3398</v>
      </c>
      <c r="K397" s="48"/>
      <c r="L397" s="38" t="s">
        <v>3777</v>
      </c>
      <c r="M397" s="38" t="s">
        <v>3778</v>
      </c>
      <c r="N397" s="29" t="s">
        <v>3787</v>
      </c>
      <c r="O397" s="38" t="s">
        <v>3779</v>
      </c>
      <c r="P397" s="38"/>
      <c r="Q397" s="38"/>
      <c r="R397" s="38"/>
      <c r="S397" s="48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1:30" ht="22.5" customHeight="1">
      <c r="A398" s="26">
        <v>3</v>
      </c>
      <c r="B398" s="26" t="s">
        <v>538</v>
      </c>
      <c r="C398" s="26">
        <v>37</v>
      </c>
      <c r="D398" s="29" t="s">
        <v>3749</v>
      </c>
      <c r="E398" s="31">
        <v>375</v>
      </c>
      <c r="F398" s="31" t="s">
        <v>3773</v>
      </c>
      <c r="G398" s="29"/>
      <c r="H398" s="66" t="s">
        <v>3788</v>
      </c>
      <c r="I398" s="29"/>
      <c r="J398" s="38" t="s">
        <v>3398</v>
      </c>
      <c r="K398" s="48"/>
      <c r="L398" s="38"/>
      <c r="M398" s="38"/>
      <c r="N398" s="29"/>
      <c r="O398" s="38" t="s">
        <v>3779</v>
      </c>
      <c r="P398" s="38"/>
      <c r="Q398" s="38"/>
      <c r="R398" s="38"/>
      <c r="S398" s="48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1:30" ht="22.5" customHeight="1">
      <c r="A399" s="26">
        <v>3</v>
      </c>
      <c r="B399" s="26" t="s">
        <v>538</v>
      </c>
      <c r="C399" s="26">
        <v>37</v>
      </c>
      <c r="D399" s="29" t="s">
        <v>3749</v>
      </c>
      <c r="E399" s="31">
        <v>375</v>
      </c>
      <c r="F399" s="31" t="s">
        <v>1642</v>
      </c>
      <c r="G399" s="32"/>
      <c r="H399" s="59" t="s">
        <v>3789</v>
      </c>
      <c r="I399" s="40" t="s">
        <v>2282</v>
      </c>
      <c r="J399" s="42"/>
      <c r="K399" s="48"/>
      <c r="L399" s="38" t="s">
        <v>1777</v>
      </c>
      <c r="M399" s="38" t="s">
        <v>2284</v>
      </c>
      <c r="N399" s="29" t="s">
        <v>2285</v>
      </c>
      <c r="O399" s="38" t="s">
        <v>1779</v>
      </c>
      <c r="P399" s="38" t="s">
        <v>1780</v>
      </c>
      <c r="Q399" s="38" t="s">
        <v>2287</v>
      </c>
      <c r="R399" s="42"/>
      <c r="S399" s="48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1:30" ht="22.5" customHeight="1">
      <c r="A400" s="26">
        <v>3</v>
      </c>
      <c r="B400" s="26" t="s">
        <v>538</v>
      </c>
      <c r="C400" s="26">
        <v>37</v>
      </c>
      <c r="D400" s="29" t="s">
        <v>3749</v>
      </c>
      <c r="E400" s="31">
        <v>376</v>
      </c>
      <c r="F400" s="31" t="s">
        <v>3791</v>
      </c>
      <c r="G400" s="29"/>
      <c r="H400" s="66" t="s">
        <v>3792</v>
      </c>
      <c r="I400" s="29" t="s">
        <v>3014</v>
      </c>
      <c r="J400" s="38" t="s">
        <v>3016</v>
      </c>
      <c r="K400" s="38" t="s">
        <v>3016</v>
      </c>
      <c r="L400" s="31" t="s">
        <v>1027</v>
      </c>
      <c r="M400" s="31" t="s">
        <v>1032</v>
      </c>
      <c r="N400" s="52" t="s">
        <v>1033</v>
      </c>
      <c r="O400" s="42" t="s">
        <v>1034</v>
      </c>
      <c r="P400" s="42" t="s">
        <v>1035</v>
      </c>
      <c r="Q400" s="42" t="s">
        <v>1037</v>
      </c>
      <c r="R400" s="38"/>
      <c r="S400" s="48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1:30" ht="22.5" customHeight="1">
      <c r="A401" s="26">
        <v>3</v>
      </c>
      <c r="B401" s="26" t="s">
        <v>538</v>
      </c>
      <c r="C401" s="26">
        <v>38</v>
      </c>
      <c r="D401" s="29" t="s">
        <v>3793</v>
      </c>
      <c r="E401" s="31">
        <v>381</v>
      </c>
      <c r="F401" s="31" t="s">
        <v>3794</v>
      </c>
      <c r="G401" s="29"/>
      <c r="H401" s="66" t="s">
        <v>3795</v>
      </c>
      <c r="I401" s="29"/>
      <c r="J401" s="38"/>
      <c r="K401" s="48"/>
      <c r="L401" s="38"/>
      <c r="M401" s="38"/>
      <c r="N401" s="29"/>
      <c r="O401" s="38" t="s">
        <v>986</v>
      </c>
      <c r="P401" s="38" t="s">
        <v>987</v>
      </c>
      <c r="Q401" s="38" t="s">
        <v>1380</v>
      </c>
      <c r="R401" s="38"/>
      <c r="S401" s="48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1:30" ht="22.5" customHeight="1">
      <c r="A402" s="26">
        <v>3</v>
      </c>
      <c r="B402" s="26" t="s">
        <v>538</v>
      </c>
      <c r="C402" s="26">
        <v>38</v>
      </c>
      <c r="D402" s="29" t="s">
        <v>3793</v>
      </c>
      <c r="E402" s="31">
        <v>381</v>
      </c>
      <c r="F402" s="31" t="s">
        <v>3794</v>
      </c>
      <c r="G402" s="29"/>
      <c r="H402" s="66" t="s">
        <v>3797</v>
      </c>
      <c r="I402" s="29"/>
      <c r="J402" s="38" t="s">
        <v>552</v>
      </c>
      <c r="K402" s="48"/>
      <c r="L402" s="38" t="s">
        <v>565</v>
      </c>
      <c r="M402" s="42" t="s">
        <v>566</v>
      </c>
      <c r="N402" s="28" t="s">
        <v>567</v>
      </c>
      <c r="O402" s="38" t="s">
        <v>569</v>
      </c>
      <c r="P402" s="38" t="s">
        <v>571</v>
      </c>
      <c r="Q402" s="38" t="s">
        <v>573</v>
      </c>
      <c r="R402" s="38"/>
      <c r="S402" s="48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1:30" ht="22.5" customHeight="1">
      <c r="A403" s="26">
        <v>3</v>
      </c>
      <c r="B403" s="26" t="s">
        <v>538</v>
      </c>
      <c r="C403" s="26">
        <v>38</v>
      </c>
      <c r="D403" s="29" t="s">
        <v>3793</v>
      </c>
      <c r="E403" s="31">
        <v>381</v>
      </c>
      <c r="F403" s="31" t="s">
        <v>3794</v>
      </c>
      <c r="G403" s="29"/>
      <c r="H403" s="59" t="s">
        <v>3799</v>
      </c>
      <c r="I403" s="40"/>
      <c r="J403" s="42" t="s">
        <v>720</v>
      </c>
      <c r="K403" s="48"/>
      <c r="L403" s="38" t="s">
        <v>722</v>
      </c>
      <c r="M403" s="42" t="s">
        <v>724</v>
      </c>
      <c r="N403" s="28" t="s">
        <v>726</v>
      </c>
      <c r="O403" s="38" t="s">
        <v>569</v>
      </c>
      <c r="P403" s="38" t="s">
        <v>571</v>
      </c>
      <c r="Q403" s="38" t="s">
        <v>728</v>
      </c>
      <c r="R403" s="38"/>
      <c r="S403" s="48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1:30" ht="22.5" customHeight="1">
      <c r="A404" s="26">
        <v>3</v>
      </c>
      <c r="B404" s="26" t="s">
        <v>538</v>
      </c>
      <c r="C404" s="26">
        <v>38</v>
      </c>
      <c r="D404" s="29" t="s">
        <v>3793</v>
      </c>
      <c r="E404" s="31">
        <v>381</v>
      </c>
      <c r="F404" s="31" t="s">
        <v>3794</v>
      </c>
      <c r="G404" s="29"/>
      <c r="H404" s="66" t="s">
        <v>3800</v>
      </c>
      <c r="I404" s="29"/>
      <c r="J404" s="85" t="s">
        <v>1202</v>
      </c>
      <c r="K404" s="48"/>
      <c r="L404" s="38" t="s">
        <v>565</v>
      </c>
      <c r="M404" s="42" t="s">
        <v>566</v>
      </c>
      <c r="N404" s="29" t="s">
        <v>794</v>
      </c>
      <c r="O404" s="38" t="s">
        <v>569</v>
      </c>
      <c r="P404" s="38" t="s">
        <v>571</v>
      </c>
      <c r="Q404" s="38" t="s">
        <v>795</v>
      </c>
      <c r="R404" s="38" t="s">
        <v>796</v>
      </c>
      <c r="S404" s="48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1:30" ht="22.5" customHeight="1">
      <c r="A405" s="26">
        <v>3</v>
      </c>
      <c r="B405" s="26" t="s">
        <v>538</v>
      </c>
      <c r="C405" s="26">
        <v>38</v>
      </c>
      <c r="D405" s="29" t="s">
        <v>3793</v>
      </c>
      <c r="E405" s="31">
        <v>381</v>
      </c>
      <c r="F405" s="31" t="s">
        <v>3794</v>
      </c>
      <c r="G405" s="29"/>
      <c r="H405" s="59" t="s">
        <v>3803</v>
      </c>
      <c r="I405" s="40"/>
      <c r="J405" s="38" t="s">
        <v>808</v>
      </c>
      <c r="K405" s="48"/>
      <c r="L405" s="38" t="s">
        <v>722</v>
      </c>
      <c r="M405" s="42" t="s">
        <v>724</v>
      </c>
      <c r="N405" s="28" t="s">
        <v>726</v>
      </c>
      <c r="O405" s="38" t="s">
        <v>809</v>
      </c>
      <c r="P405" s="38" t="s">
        <v>810</v>
      </c>
      <c r="Q405" s="38" t="s">
        <v>811</v>
      </c>
      <c r="R405" s="38"/>
      <c r="S405" s="48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1:30" ht="22.5" customHeight="1">
      <c r="A406" s="26">
        <v>3</v>
      </c>
      <c r="B406" s="26" t="s">
        <v>538</v>
      </c>
      <c r="C406" s="26">
        <v>38</v>
      </c>
      <c r="D406" s="29" t="s">
        <v>3793</v>
      </c>
      <c r="E406" s="31">
        <v>381</v>
      </c>
      <c r="F406" s="31" t="s">
        <v>3794</v>
      </c>
      <c r="G406" s="29"/>
      <c r="H406" s="66" t="s">
        <v>3804</v>
      </c>
      <c r="I406" s="29"/>
      <c r="J406" s="38" t="s">
        <v>887</v>
      </c>
      <c r="K406" s="48"/>
      <c r="L406" s="38" t="s">
        <v>565</v>
      </c>
      <c r="M406" s="42" t="s">
        <v>566</v>
      </c>
      <c r="N406" s="29" t="s">
        <v>794</v>
      </c>
      <c r="O406" s="38" t="s">
        <v>569</v>
      </c>
      <c r="P406" s="38" t="s">
        <v>571</v>
      </c>
      <c r="Q406" s="38" t="s">
        <v>795</v>
      </c>
      <c r="R406" s="38" t="s">
        <v>910</v>
      </c>
      <c r="S406" s="48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1:30" ht="22.5" customHeight="1">
      <c r="A407" s="26">
        <v>3</v>
      </c>
      <c r="B407" s="26" t="s">
        <v>538</v>
      </c>
      <c r="C407" s="26">
        <v>38</v>
      </c>
      <c r="D407" s="29" t="s">
        <v>3793</v>
      </c>
      <c r="E407" s="31">
        <v>382</v>
      </c>
      <c r="F407" s="31" t="s">
        <v>3806</v>
      </c>
      <c r="G407" s="29"/>
      <c r="H407" s="66" t="s">
        <v>3807</v>
      </c>
      <c r="I407" s="29"/>
      <c r="J407" s="38"/>
      <c r="K407" s="48"/>
      <c r="L407" s="38"/>
      <c r="M407" s="38"/>
      <c r="N407" s="29"/>
      <c r="O407" s="38" t="s">
        <v>986</v>
      </c>
      <c r="P407" s="38" t="s">
        <v>987</v>
      </c>
      <c r="Q407" s="38" t="s">
        <v>1380</v>
      </c>
      <c r="R407" s="38"/>
      <c r="S407" s="48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1:30" ht="22.5" customHeight="1">
      <c r="A408" s="26">
        <v>3</v>
      </c>
      <c r="B408" s="26" t="s">
        <v>538</v>
      </c>
      <c r="C408" s="26">
        <v>38</v>
      </c>
      <c r="D408" s="29" t="s">
        <v>3793</v>
      </c>
      <c r="E408" s="31">
        <v>382</v>
      </c>
      <c r="F408" s="31" t="s">
        <v>3806</v>
      </c>
      <c r="G408" s="29"/>
      <c r="H408" s="33" t="s">
        <v>3808</v>
      </c>
      <c r="I408" s="29"/>
      <c r="J408" s="38"/>
      <c r="K408" s="48"/>
      <c r="L408" s="38" t="s">
        <v>3809</v>
      </c>
      <c r="M408" s="38" t="s">
        <v>3810</v>
      </c>
      <c r="N408" s="29" t="s">
        <v>3808</v>
      </c>
      <c r="O408" s="38" t="s">
        <v>3811</v>
      </c>
      <c r="P408" s="38" t="s">
        <v>3812</v>
      </c>
      <c r="Q408" s="48" t="s">
        <v>3813</v>
      </c>
      <c r="R408" s="38"/>
      <c r="S408" s="44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1:30" ht="22.5" customHeight="1">
      <c r="A409" s="26">
        <v>3</v>
      </c>
      <c r="B409" s="26" t="s">
        <v>538</v>
      </c>
      <c r="C409" s="26">
        <v>38</v>
      </c>
      <c r="D409" s="29" t="s">
        <v>3793</v>
      </c>
      <c r="E409" s="31">
        <v>382</v>
      </c>
      <c r="F409" s="31" t="s">
        <v>3806</v>
      </c>
      <c r="G409" s="29"/>
      <c r="H409" s="33" t="s">
        <v>3815</v>
      </c>
      <c r="I409" s="29"/>
      <c r="J409" s="38"/>
      <c r="K409" s="48"/>
      <c r="L409" s="38" t="s">
        <v>3809</v>
      </c>
      <c r="M409" s="38" t="s">
        <v>3810</v>
      </c>
      <c r="N409" s="29" t="s">
        <v>3815</v>
      </c>
      <c r="O409" s="38" t="s">
        <v>3811</v>
      </c>
      <c r="P409" s="38" t="s">
        <v>3812</v>
      </c>
      <c r="Q409" s="48" t="s">
        <v>3816</v>
      </c>
      <c r="R409" s="38"/>
      <c r="S409" s="44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1:30" ht="22.5" customHeight="1">
      <c r="A410" s="26">
        <v>3</v>
      </c>
      <c r="B410" s="26" t="s">
        <v>538</v>
      </c>
      <c r="C410" s="26">
        <v>38</v>
      </c>
      <c r="D410" s="29" t="s">
        <v>3793</v>
      </c>
      <c r="E410" s="31">
        <v>382</v>
      </c>
      <c r="F410" s="31" t="s">
        <v>3806</v>
      </c>
      <c r="G410" s="29"/>
      <c r="H410" s="33" t="s">
        <v>3817</v>
      </c>
      <c r="I410" s="29"/>
      <c r="J410" s="38"/>
      <c r="K410" s="48"/>
      <c r="L410" s="38" t="s">
        <v>3809</v>
      </c>
      <c r="M410" s="38" t="s">
        <v>3810</v>
      </c>
      <c r="N410" s="29" t="s">
        <v>3817</v>
      </c>
      <c r="O410" s="38" t="s">
        <v>3811</v>
      </c>
      <c r="P410" s="38" t="s">
        <v>3812</v>
      </c>
      <c r="Q410" s="48" t="s">
        <v>3818</v>
      </c>
      <c r="R410" s="38"/>
      <c r="S410" s="44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1:30" ht="22.5" customHeight="1">
      <c r="A411" s="26">
        <v>3</v>
      </c>
      <c r="B411" s="26" t="s">
        <v>538</v>
      </c>
      <c r="C411" s="26">
        <v>38</v>
      </c>
      <c r="D411" s="29" t="s">
        <v>3793</v>
      </c>
      <c r="E411" s="31">
        <v>382</v>
      </c>
      <c r="F411" s="31" t="s">
        <v>3806</v>
      </c>
      <c r="G411" s="29"/>
      <c r="H411" s="66" t="s">
        <v>3819</v>
      </c>
      <c r="I411" s="29"/>
      <c r="J411" s="38" t="s">
        <v>552</v>
      </c>
      <c r="K411" s="48"/>
      <c r="L411" s="38" t="s">
        <v>565</v>
      </c>
      <c r="M411" s="42" t="s">
        <v>566</v>
      </c>
      <c r="N411" s="28" t="s">
        <v>567</v>
      </c>
      <c r="O411" s="38" t="s">
        <v>569</v>
      </c>
      <c r="P411" s="38" t="s">
        <v>571</v>
      </c>
      <c r="Q411" s="38" t="s">
        <v>573</v>
      </c>
      <c r="R411" s="38"/>
      <c r="S411" s="48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1:30" ht="22.5" customHeight="1">
      <c r="A412" s="26">
        <v>3</v>
      </c>
      <c r="B412" s="26" t="s">
        <v>538</v>
      </c>
      <c r="C412" s="26">
        <v>38</v>
      </c>
      <c r="D412" s="29" t="s">
        <v>3793</v>
      </c>
      <c r="E412" s="31">
        <v>382</v>
      </c>
      <c r="F412" s="31" t="s">
        <v>3806</v>
      </c>
      <c r="G412" s="29"/>
      <c r="H412" s="59" t="s">
        <v>3821</v>
      </c>
      <c r="I412" s="40"/>
      <c r="J412" s="42" t="s">
        <v>720</v>
      </c>
      <c r="K412" s="48"/>
      <c r="L412" s="38" t="s">
        <v>722</v>
      </c>
      <c r="M412" s="42" t="s">
        <v>724</v>
      </c>
      <c r="N412" s="28" t="s">
        <v>726</v>
      </c>
      <c r="O412" s="38" t="s">
        <v>569</v>
      </c>
      <c r="P412" s="38" t="s">
        <v>571</v>
      </c>
      <c r="Q412" s="38" t="s">
        <v>728</v>
      </c>
      <c r="R412" s="38"/>
      <c r="S412" s="48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1:30" ht="22.5" customHeight="1">
      <c r="A413" s="26">
        <v>3</v>
      </c>
      <c r="B413" s="26" t="s">
        <v>538</v>
      </c>
      <c r="C413" s="26">
        <v>38</v>
      </c>
      <c r="D413" s="29" t="s">
        <v>3793</v>
      </c>
      <c r="E413" s="31">
        <v>382</v>
      </c>
      <c r="F413" s="31" t="s">
        <v>3806</v>
      </c>
      <c r="G413" s="29"/>
      <c r="H413" s="66" t="s">
        <v>3822</v>
      </c>
      <c r="I413" s="29"/>
      <c r="J413" s="85" t="s">
        <v>1202</v>
      </c>
      <c r="K413" s="48"/>
      <c r="L413" s="38" t="s">
        <v>565</v>
      </c>
      <c r="M413" s="42" t="s">
        <v>566</v>
      </c>
      <c r="N413" s="29" t="s">
        <v>794</v>
      </c>
      <c r="O413" s="38" t="s">
        <v>569</v>
      </c>
      <c r="P413" s="38" t="s">
        <v>571</v>
      </c>
      <c r="Q413" s="38" t="s">
        <v>795</v>
      </c>
      <c r="R413" s="38" t="s">
        <v>796</v>
      </c>
      <c r="S413" s="48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1:30" ht="22.5" customHeight="1">
      <c r="A414" s="26">
        <v>3</v>
      </c>
      <c r="B414" s="26" t="s">
        <v>538</v>
      </c>
      <c r="C414" s="26">
        <v>38</v>
      </c>
      <c r="D414" s="29" t="s">
        <v>3793</v>
      </c>
      <c r="E414" s="31">
        <v>382</v>
      </c>
      <c r="F414" s="31" t="s">
        <v>3806</v>
      </c>
      <c r="G414" s="29"/>
      <c r="H414" s="59" t="s">
        <v>3824</v>
      </c>
      <c r="I414" s="40"/>
      <c r="J414" s="38" t="s">
        <v>808</v>
      </c>
      <c r="K414" s="48"/>
      <c r="L414" s="38" t="s">
        <v>722</v>
      </c>
      <c r="M414" s="42" t="s">
        <v>724</v>
      </c>
      <c r="N414" s="28" t="s">
        <v>726</v>
      </c>
      <c r="O414" s="38" t="s">
        <v>809</v>
      </c>
      <c r="P414" s="38" t="s">
        <v>810</v>
      </c>
      <c r="Q414" s="38" t="s">
        <v>811</v>
      </c>
      <c r="R414" s="38"/>
      <c r="S414" s="48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1:30" ht="22.5" customHeight="1">
      <c r="A415" s="26">
        <v>3</v>
      </c>
      <c r="B415" s="26" t="s">
        <v>538</v>
      </c>
      <c r="C415" s="26">
        <v>38</v>
      </c>
      <c r="D415" s="29" t="s">
        <v>3793</v>
      </c>
      <c r="E415" s="31">
        <v>382</v>
      </c>
      <c r="F415" s="31" t="s">
        <v>3806</v>
      </c>
      <c r="G415" s="29"/>
      <c r="H415" s="66" t="s">
        <v>3825</v>
      </c>
      <c r="I415" s="29"/>
      <c r="J415" s="38" t="s">
        <v>887</v>
      </c>
      <c r="K415" s="48"/>
      <c r="L415" s="38" t="s">
        <v>565</v>
      </c>
      <c r="M415" s="42" t="s">
        <v>566</v>
      </c>
      <c r="N415" s="29" t="s">
        <v>794</v>
      </c>
      <c r="O415" s="38" t="s">
        <v>569</v>
      </c>
      <c r="P415" s="38" t="s">
        <v>571</v>
      </c>
      <c r="Q415" s="38" t="s">
        <v>795</v>
      </c>
      <c r="R415" s="38" t="s">
        <v>910</v>
      </c>
      <c r="S415" s="48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1:30" ht="22.5" customHeight="1">
      <c r="A416" s="26">
        <v>3</v>
      </c>
      <c r="B416" s="26" t="s">
        <v>538</v>
      </c>
      <c r="C416" s="26">
        <v>38</v>
      </c>
      <c r="D416" s="29" t="s">
        <v>3793</v>
      </c>
      <c r="E416" s="31">
        <v>382</v>
      </c>
      <c r="F416" s="31" t="s">
        <v>3806</v>
      </c>
      <c r="G416" s="29"/>
      <c r="H416" s="33" t="s">
        <v>3827</v>
      </c>
      <c r="I416" s="29"/>
      <c r="J416" s="38"/>
      <c r="K416" s="48"/>
      <c r="L416" s="38" t="s">
        <v>3828</v>
      </c>
      <c r="M416" s="38" t="s">
        <v>3827</v>
      </c>
      <c r="N416" s="29" t="s">
        <v>3829</v>
      </c>
      <c r="O416" s="38" t="s">
        <v>3811</v>
      </c>
      <c r="P416" s="38" t="s">
        <v>3812</v>
      </c>
      <c r="Q416" s="48" t="s">
        <v>3830</v>
      </c>
      <c r="R416" s="38"/>
      <c r="S416" s="44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1:30" ht="12.75" customHeight="1">
      <c r="A417" s="26">
        <v>3</v>
      </c>
      <c r="B417" s="26" t="s">
        <v>538</v>
      </c>
      <c r="C417" s="26">
        <v>38</v>
      </c>
      <c r="D417" s="29" t="s">
        <v>3793</v>
      </c>
      <c r="E417" s="31">
        <v>383</v>
      </c>
      <c r="F417" s="31" t="s">
        <v>3831</v>
      </c>
      <c r="G417" s="29"/>
      <c r="H417" s="66" t="s">
        <v>3832</v>
      </c>
      <c r="I417" s="29"/>
      <c r="J417" s="38"/>
      <c r="K417" s="48"/>
      <c r="L417" s="38"/>
      <c r="M417" s="38"/>
      <c r="N417" s="29"/>
      <c r="O417" s="38" t="s">
        <v>986</v>
      </c>
      <c r="P417" s="38" t="s">
        <v>987</v>
      </c>
      <c r="Q417" s="38" t="s">
        <v>1380</v>
      </c>
      <c r="R417" s="38"/>
      <c r="S417" s="48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47"/>
    </row>
    <row r="418" spans="1:30" ht="12.75" customHeight="1">
      <c r="A418" s="26">
        <v>3</v>
      </c>
      <c r="B418" s="26" t="s">
        <v>538</v>
      </c>
      <c r="C418" s="26">
        <v>38</v>
      </c>
      <c r="D418" s="29" t="s">
        <v>3793</v>
      </c>
      <c r="E418" s="31">
        <v>383</v>
      </c>
      <c r="F418" s="31" t="s">
        <v>3831</v>
      </c>
      <c r="G418" s="29"/>
      <c r="H418" s="66" t="s">
        <v>3834</v>
      </c>
      <c r="I418" s="29"/>
      <c r="J418" s="38" t="s">
        <v>552</v>
      </c>
      <c r="K418" s="48"/>
      <c r="L418" s="38" t="s">
        <v>565</v>
      </c>
      <c r="M418" s="42" t="s">
        <v>566</v>
      </c>
      <c r="N418" s="28" t="s">
        <v>567</v>
      </c>
      <c r="O418" s="38" t="s">
        <v>569</v>
      </c>
      <c r="P418" s="38" t="s">
        <v>571</v>
      </c>
      <c r="Q418" s="38" t="s">
        <v>573</v>
      </c>
      <c r="R418" s="38"/>
      <c r="S418" s="48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47"/>
    </row>
    <row r="419" spans="1:30" ht="12.75" customHeight="1">
      <c r="A419" s="26">
        <v>3</v>
      </c>
      <c r="B419" s="26" t="s">
        <v>538</v>
      </c>
      <c r="C419" s="26">
        <v>38</v>
      </c>
      <c r="D419" s="29" t="s">
        <v>3793</v>
      </c>
      <c r="E419" s="31">
        <v>383</v>
      </c>
      <c r="F419" s="31" t="s">
        <v>3831</v>
      </c>
      <c r="G419" s="29"/>
      <c r="H419" s="59" t="s">
        <v>3835</v>
      </c>
      <c r="I419" s="40"/>
      <c r="J419" s="42" t="s">
        <v>720</v>
      </c>
      <c r="K419" s="48"/>
      <c r="L419" s="38" t="s">
        <v>722</v>
      </c>
      <c r="M419" s="42" t="s">
        <v>724</v>
      </c>
      <c r="N419" s="28" t="s">
        <v>726</v>
      </c>
      <c r="O419" s="38" t="s">
        <v>569</v>
      </c>
      <c r="P419" s="38" t="s">
        <v>571</v>
      </c>
      <c r="Q419" s="38" t="s">
        <v>728</v>
      </c>
      <c r="R419" s="38"/>
      <c r="S419" s="48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47"/>
    </row>
    <row r="420" spans="1:30" ht="12.75" customHeight="1">
      <c r="A420" s="26">
        <v>3</v>
      </c>
      <c r="B420" s="26" t="s">
        <v>538</v>
      </c>
      <c r="C420" s="26">
        <v>38</v>
      </c>
      <c r="D420" s="29" t="s">
        <v>3793</v>
      </c>
      <c r="E420" s="31">
        <v>383</v>
      </c>
      <c r="F420" s="31" t="s">
        <v>3831</v>
      </c>
      <c r="G420" s="29"/>
      <c r="H420" s="66" t="s">
        <v>3836</v>
      </c>
      <c r="I420" s="29"/>
      <c r="J420" s="85" t="s">
        <v>1202</v>
      </c>
      <c r="K420" s="48"/>
      <c r="L420" s="38" t="s">
        <v>565</v>
      </c>
      <c r="M420" s="42" t="s">
        <v>566</v>
      </c>
      <c r="N420" s="29" t="s">
        <v>794</v>
      </c>
      <c r="O420" s="38" t="s">
        <v>569</v>
      </c>
      <c r="P420" s="38" t="s">
        <v>571</v>
      </c>
      <c r="Q420" s="38" t="s">
        <v>795</v>
      </c>
      <c r="R420" s="38" t="s">
        <v>796</v>
      </c>
      <c r="S420" s="48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47"/>
    </row>
    <row r="421" spans="1:30" ht="12.75" customHeight="1">
      <c r="A421" s="26">
        <v>3</v>
      </c>
      <c r="B421" s="26" t="s">
        <v>538</v>
      </c>
      <c r="C421" s="26">
        <v>38</v>
      </c>
      <c r="D421" s="29" t="s">
        <v>3793</v>
      </c>
      <c r="E421" s="31">
        <v>383</v>
      </c>
      <c r="F421" s="31" t="s">
        <v>3831</v>
      </c>
      <c r="G421" s="29"/>
      <c r="H421" s="59" t="s">
        <v>3838</v>
      </c>
      <c r="I421" s="40"/>
      <c r="J421" s="38" t="s">
        <v>808</v>
      </c>
      <c r="K421" s="48"/>
      <c r="L421" s="38" t="s">
        <v>722</v>
      </c>
      <c r="M421" s="42" t="s">
        <v>724</v>
      </c>
      <c r="N421" s="28" t="s">
        <v>726</v>
      </c>
      <c r="O421" s="38" t="s">
        <v>809</v>
      </c>
      <c r="P421" s="38" t="s">
        <v>810</v>
      </c>
      <c r="Q421" s="38" t="s">
        <v>811</v>
      </c>
      <c r="R421" s="38"/>
      <c r="S421" s="48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47"/>
    </row>
    <row r="422" spans="1:30" ht="12.75" customHeight="1">
      <c r="A422" s="26">
        <v>3</v>
      </c>
      <c r="B422" s="26" t="s">
        <v>538</v>
      </c>
      <c r="C422" s="26">
        <v>38</v>
      </c>
      <c r="D422" s="29" t="s">
        <v>3793</v>
      </c>
      <c r="E422" s="31">
        <v>383</v>
      </c>
      <c r="F422" s="31" t="s">
        <v>3831</v>
      </c>
      <c r="G422" s="29"/>
      <c r="H422" s="66" t="s">
        <v>3839</v>
      </c>
      <c r="I422" s="29"/>
      <c r="J422" s="38" t="s">
        <v>887</v>
      </c>
      <c r="K422" s="48"/>
      <c r="L422" s="38" t="s">
        <v>565</v>
      </c>
      <c r="M422" s="42" t="s">
        <v>566</v>
      </c>
      <c r="N422" s="29" t="s">
        <v>794</v>
      </c>
      <c r="O422" s="38" t="s">
        <v>569</v>
      </c>
      <c r="P422" s="38" t="s">
        <v>571</v>
      </c>
      <c r="Q422" s="38" t="s">
        <v>795</v>
      </c>
      <c r="R422" s="38" t="s">
        <v>910</v>
      </c>
      <c r="S422" s="48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47"/>
    </row>
    <row r="423" spans="1:30" ht="12.75" customHeight="1">
      <c r="A423" s="26">
        <v>3</v>
      </c>
      <c r="B423" s="26" t="s">
        <v>538</v>
      </c>
      <c r="C423" s="26">
        <v>38</v>
      </c>
      <c r="D423" s="29" t="s">
        <v>3793</v>
      </c>
      <c r="E423" s="31">
        <v>389</v>
      </c>
      <c r="F423" s="31" t="s">
        <v>3793</v>
      </c>
      <c r="G423" s="32"/>
      <c r="H423" s="50" t="s">
        <v>2489</v>
      </c>
      <c r="I423" s="40" t="s">
        <v>3841</v>
      </c>
      <c r="J423" s="42" t="s">
        <v>3842</v>
      </c>
      <c r="K423" s="48"/>
      <c r="L423" s="38" t="s">
        <v>2490</v>
      </c>
      <c r="M423" s="38" t="s">
        <v>2493</v>
      </c>
      <c r="N423" s="29" t="s">
        <v>2495</v>
      </c>
      <c r="O423" s="38" t="s">
        <v>2497</v>
      </c>
      <c r="P423" s="38" t="s">
        <v>2499</v>
      </c>
      <c r="Q423" s="38" t="s">
        <v>2500</v>
      </c>
      <c r="R423" s="38" t="s">
        <v>2501</v>
      </c>
      <c r="S423" s="48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47"/>
    </row>
    <row r="424" spans="1:30" ht="12.75" customHeight="1">
      <c r="A424" s="26">
        <v>3</v>
      </c>
      <c r="B424" s="26" t="s">
        <v>538</v>
      </c>
      <c r="C424" s="26">
        <v>38</v>
      </c>
      <c r="D424" s="29" t="s">
        <v>3793</v>
      </c>
      <c r="E424" s="31">
        <v>389</v>
      </c>
      <c r="F424" s="31" t="s">
        <v>3793</v>
      </c>
      <c r="G424" s="32"/>
      <c r="H424" s="50" t="s">
        <v>3843</v>
      </c>
      <c r="I424" s="40" t="s">
        <v>3844</v>
      </c>
      <c r="J424" s="42" t="s">
        <v>3842</v>
      </c>
      <c r="K424" s="48"/>
      <c r="L424" s="38" t="s">
        <v>3845</v>
      </c>
      <c r="M424" s="38" t="s">
        <v>3846</v>
      </c>
      <c r="N424" s="29" t="s">
        <v>3847</v>
      </c>
      <c r="O424" s="38" t="s">
        <v>2497</v>
      </c>
      <c r="P424" s="38" t="s">
        <v>2499</v>
      </c>
      <c r="Q424" s="38" t="s">
        <v>2500</v>
      </c>
      <c r="R424" s="38"/>
      <c r="S424" s="48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47"/>
    </row>
    <row r="425" spans="1:30" ht="12.75" customHeight="1">
      <c r="A425" s="26">
        <v>3</v>
      </c>
      <c r="B425" s="26" t="s">
        <v>538</v>
      </c>
      <c r="C425" s="26">
        <v>38</v>
      </c>
      <c r="D425" s="29" t="s">
        <v>3793</v>
      </c>
      <c r="E425" s="31">
        <v>389</v>
      </c>
      <c r="F425" s="31" t="s">
        <v>3793</v>
      </c>
      <c r="G425" s="32"/>
      <c r="H425" s="50" t="s">
        <v>3849</v>
      </c>
      <c r="I425" s="40"/>
      <c r="J425" s="42"/>
      <c r="K425" s="48"/>
      <c r="L425" s="38" t="s">
        <v>3671</v>
      </c>
      <c r="M425" s="38" t="s">
        <v>3672</v>
      </c>
      <c r="N425" s="29" t="s">
        <v>3850</v>
      </c>
      <c r="O425" s="38" t="s">
        <v>2497</v>
      </c>
      <c r="P425" s="38" t="s">
        <v>2499</v>
      </c>
      <c r="Q425" s="38" t="s">
        <v>2500</v>
      </c>
      <c r="R425" s="38" t="s">
        <v>3851</v>
      </c>
      <c r="S425" s="48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47"/>
    </row>
    <row r="426" spans="1:30" ht="12.75" customHeight="1">
      <c r="A426" s="26">
        <v>3</v>
      </c>
      <c r="B426" s="26" t="s">
        <v>538</v>
      </c>
      <c r="C426" s="26">
        <v>38</v>
      </c>
      <c r="D426" s="29" t="s">
        <v>3793</v>
      </c>
      <c r="E426" s="31">
        <v>389</v>
      </c>
      <c r="F426" s="31" t="s">
        <v>3793</v>
      </c>
      <c r="G426" s="32"/>
      <c r="H426" s="59" t="s">
        <v>3852</v>
      </c>
      <c r="I426" s="40"/>
      <c r="J426" s="42" t="s">
        <v>3842</v>
      </c>
      <c r="K426" s="48"/>
      <c r="L426" s="38" t="s">
        <v>3671</v>
      </c>
      <c r="M426" s="38" t="s">
        <v>3672</v>
      </c>
      <c r="N426" s="29" t="s">
        <v>3850</v>
      </c>
      <c r="O426" s="38" t="s">
        <v>2497</v>
      </c>
      <c r="P426" s="38" t="s">
        <v>2499</v>
      </c>
      <c r="Q426" s="38" t="s">
        <v>2500</v>
      </c>
      <c r="R426" s="38" t="s">
        <v>3851</v>
      </c>
      <c r="S426" s="48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47"/>
    </row>
    <row r="427" spans="1:30" ht="12.75" customHeight="1">
      <c r="A427" s="47"/>
      <c r="B427" s="47"/>
      <c r="C427" s="47"/>
      <c r="D427" s="47"/>
      <c r="E427" s="47"/>
      <c r="F427" s="47"/>
      <c r="G427" s="47"/>
      <c r="H427" s="84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</row>
    <row r="428" spans="1:30" ht="12.75" customHeight="1">
      <c r="A428" s="47"/>
      <c r="B428" s="47"/>
      <c r="C428" s="47"/>
      <c r="D428" s="47"/>
      <c r="E428" s="47"/>
      <c r="F428" s="47"/>
      <c r="G428" s="47"/>
      <c r="H428" s="84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</row>
    <row r="429" spans="1:30" ht="12.75" customHeight="1">
      <c r="A429" s="47"/>
      <c r="B429" s="47"/>
      <c r="C429" s="47"/>
      <c r="D429" s="47"/>
      <c r="E429" s="47"/>
      <c r="F429" s="47"/>
      <c r="G429" s="47"/>
      <c r="H429" s="84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</row>
    <row r="430" spans="1:30" ht="12.75" customHeight="1">
      <c r="A430" s="47"/>
      <c r="B430" s="47"/>
      <c r="C430" s="47"/>
      <c r="D430" s="47"/>
      <c r="E430" s="47"/>
      <c r="F430" s="47"/>
      <c r="G430" s="47"/>
      <c r="H430" s="84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</row>
    <row r="431" spans="1:30" ht="12.75" customHeight="1">
      <c r="A431" s="47"/>
      <c r="B431" s="47"/>
      <c r="C431" s="47"/>
      <c r="D431" s="47"/>
      <c r="E431" s="47"/>
      <c r="F431" s="47"/>
      <c r="G431" s="47"/>
      <c r="H431" s="84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</row>
    <row r="432" spans="1:30" ht="12.75" customHeight="1">
      <c r="A432" s="47"/>
      <c r="B432" s="47"/>
      <c r="C432" s="47"/>
      <c r="D432" s="47"/>
      <c r="E432" s="47"/>
      <c r="F432" s="47"/>
      <c r="G432" s="47"/>
      <c r="H432" s="84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</row>
    <row r="433" spans="1:30" ht="12.75" customHeight="1">
      <c r="A433" s="47"/>
      <c r="B433" s="47"/>
      <c r="C433" s="47"/>
      <c r="D433" s="47"/>
      <c r="E433" s="47"/>
      <c r="F433" s="47"/>
      <c r="G433" s="47"/>
      <c r="H433" s="84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</row>
    <row r="434" spans="1:30" ht="12.75" customHeight="1">
      <c r="A434" s="47"/>
      <c r="B434" s="47"/>
      <c r="C434" s="47"/>
      <c r="D434" s="47"/>
      <c r="E434" s="47"/>
      <c r="F434" s="47"/>
      <c r="G434" s="47"/>
      <c r="H434" s="84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</row>
    <row r="435" spans="1:30" ht="12.75" customHeight="1">
      <c r="A435" s="47"/>
      <c r="B435" s="47"/>
      <c r="C435" s="47"/>
      <c r="D435" s="47"/>
      <c r="E435" s="47"/>
      <c r="F435" s="47"/>
      <c r="G435" s="47"/>
      <c r="H435" s="84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</row>
    <row r="436" spans="1:30" ht="12.75" customHeight="1">
      <c r="A436" s="47"/>
      <c r="B436" s="47"/>
      <c r="C436" s="47"/>
      <c r="D436" s="47"/>
      <c r="E436" s="47"/>
      <c r="F436" s="47"/>
      <c r="G436" s="47"/>
      <c r="H436" s="84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</row>
    <row r="437" spans="1:30" ht="12.75" customHeight="1">
      <c r="A437" s="47"/>
      <c r="B437" s="47"/>
      <c r="C437" s="47"/>
      <c r="D437" s="47"/>
      <c r="E437" s="47"/>
      <c r="F437" s="47"/>
      <c r="G437" s="47"/>
      <c r="H437" s="84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</row>
    <row r="438" spans="1:30" ht="12.75" customHeight="1">
      <c r="A438" s="47"/>
      <c r="B438" s="47"/>
      <c r="C438" s="47"/>
      <c r="D438" s="47"/>
      <c r="E438" s="47"/>
      <c r="F438" s="47"/>
      <c r="G438" s="47"/>
      <c r="H438" s="84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</row>
    <row r="439" spans="1:30" ht="12.75" customHeight="1">
      <c r="A439" s="47"/>
      <c r="B439" s="47"/>
      <c r="C439" s="47"/>
      <c r="D439" s="47"/>
      <c r="E439" s="47"/>
      <c r="F439" s="47"/>
      <c r="G439" s="47"/>
      <c r="H439" s="84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</row>
    <row r="440" spans="1:30" ht="12.75" customHeight="1">
      <c r="A440" s="47"/>
      <c r="B440" s="47"/>
      <c r="C440" s="47"/>
      <c r="D440" s="47"/>
      <c r="E440" s="47"/>
      <c r="F440" s="47"/>
      <c r="G440" s="47"/>
      <c r="H440" s="84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</row>
    <row r="441" spans="1:30" ht="12.75" customHeight="1">
      <c r="A441" s="47"/>
      <c r="B441" s="47"/>
      <c r="C441" s="47"/>
      <c r="D441" s="47"/>
      <c r="E441" s="47"/>
      <c r="F441" s="47"/>
      <c r="G441" s="47"/>
      <c r="H441" s="84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</row>
    <row r="442" spans="1:30" ht="12.75" customHeight="1">
      <c r="A442" s="47"/>
      <c r="B442" s="47"/>
      <c r="C442" s="47"/>
      <c r="D442" s="47"/>
      <c r="E442" s="47"/>
      <c r="F442" s="47"/>
      <c r="G442" s="47"/>
      <c r="H442" s="84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</row>
    <row r="443" spans="1:30" ht="12.75" customHeight="1">
      <c r="A443" s="47"/>
      <c r="B443" s="47"/>
      <c r="C443" s="47"/>
      <c r="D443" s="47"/>
      <c r="E443" s="47"/>
      <c r="F443" s="47"/>
      <c r="G443" s="47"/>
      <c r="H443" s="84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</row>
    <row r="444" spans="1:30" ht="12.75" customHeight="1">
      <c r="A444" s="47"/>
      <c r="B444" s="47"/>
      <c r="C444" s="47"/>
      <c r="D444" s="47"/>
      <c r="E444" s="47"/>
      <c r="F444" s="47"/>
      <c r="G444" s="47"/>
      <c r="H444" s="84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</row>
    <row r="445" spans="1:30" ht="12.75" customHeight="1">
      <c r="A445" s="47"/>
      <c r="B445" s="47"/>
      <c r="C445" s="47"/>
      <c r="D445" s="47"/>
      <c r="E445" s="47"/>
      <c r="F445" s="47"/>
      <c r="G445" s="47"/>
      <c r="H445" s="84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</row>
    <row r="446" spans="1:30" ht="12.75" customHeight="1">
      <c r="A446" s="47"/>
      <c r="B446" s="47"/>
      <c r="C446" s="47"/>
      <c r="D446" s="47"/>
      <c r="E446" s="47"/>
      <c r="F446" s="47"/>
      <c r="G446" s="47"/>
      <c r="H446" s="84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</row>
    <row r="447" spans="1:30" ht="12.75" customHeight="1">
      <c r="A447" s="47"/>
      <c r="B447" s="47"/>
      <c r="C447" s="47"/>
      <c r="D447" s="47"/>
      <c r="E447" s="47"/>
      <c r="F447" s="47"/>
      <c r="G447" s="47"/>
      <c r="H447" s="84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</row>
    <row r="448" spans="1:30" ht="12.75" customHeight="1">
      <c r="A448" s="47"/>
      <c r="B448" s="47"/>
      <c r="C448" s="47"/>
      <c r="D448" s="47"/>
      <c r="E448" s="47"/>
      <c r="F448" s="47"/>
      <c r="G448" s="47"/>
      <c r="H448" s="84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</row>
    <row r="449" spans="1:30" ht="12.75" customHeight="1">
      <c r="A449" s="47"/>
      <c r="B449" s="47"/>
      <c r="C449" s="47"/>
      <c r="D449" s="47"/>
      <c r="E449" s="47"/>
      <c r="F449" s="47"/>
      <c r="G449" s="47"/>
      <c r="H449" s="84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</row>
    <row r="450" spans="1:30" ht="12.75" customHeight="1">
      <c r="A450" s="47"/>
      <c r="B450" s="47"/>
      <c r="C450" s="47"/>
      <c r="D450" s="47"/>
      <c r="E450" s="47"/>
      <c r="F450" s="47"/>
      <c r="G450" s="47"/>
      <c r="H450" s="84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</row>
    <row r="451" spans="1:30" ht="12.75" customHeight="1">
      <c r="A451" s="47"/>
      <c r="B451" s="47"/>
      <c r="C451" s="47"/>
      <c r="D451" s="47"/>
      <c r="E451" s="47"/>
      <c r="F451" s="47"/>
      <c r="G451" s="47"/>
      <c r="H451" s="84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</row>
    <row r="452" spans="1:30" ht="12.75" customHeight="1">
      <c r="A452" s="47"/>
      <c r="B452" s="47"/>
      <c r="C452" s="47"/>
      <c r="D452" s="47"/>
      <c r="E452" s="47"/>
      <c r="F452" s="47"/>
      <c r="G452" s="47"/>
      <c r="H452" s="84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</row>
    <row r="453" spans="1:30" ht="12.75" customHeight="1">
      <c r="A453" s="47"/>
      <c r="B453" s="47"/>
      <c r="C453" s="47"/>
      <c r="D453" s="47"/>
      <c r="E453" s="47"/>
      <c r="F453" s="47"/>
      <c r="G453" s="47"/>
      <c r="H453" s="84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</row>
    <row r="454" spans="1:30" ht="12.75" customHeight="1">
      <c r="A454" s="47"/>
      <c r="B454" s="47"/>
      <c r="C454" s="47"/>
      <c r="D454" s="47"/>
      <c r="E454" s="47"/>
      <c r="F454" s="47"/>
      <c r="G454" s="47"/>
      <c r="H454" s="84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</row>
    <row r="455" spans="1:30" ht="12.75" customHeight="1">
      <c r="A455" s="47"/>
      <c r="B455" s="47"/>
      <c r="C455" s="47"/>
      <c r="D455" s="47"/>
      <c r="E455" s="47"/>
      <c r="F455" s="47"/>
      <c r="G455" s="47"/>
      <c r="H455" s="84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</row>
    <row r="456" spans="1:30" ht="12.75" customHeight="1">
      <c r="A456" s="47"/>
      <c r="B456" s="47"/>
      <c r="C456" s="47"/>
      <c r="D456" s="47"/>
      <c r="E456" s="47"/>
      <c r="F456" s="47"/>
      <c r="G456" s="47"/>
      <c r="H456" s="84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</row>
    <row r="457" spans="1:30" ht="12.75" customHeight="1">
      <c r="A457" s="47"/>
      <c r="B457" s="47"/>
      <c r="C457" s="47"/>
      <c r="D457" s="47"/>
      <c r="E457" s="47"/>
      <c r="F457" s="47"/>
      <c r="G457" s="47"/>
      <c r="H457" s="84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</row>
    <row r="458" spans="1:30" ht="12.75" customHeight="1">
      <c r="A458" s="47"/>
      <c r="B458" s="47"/>
      <c r="C458" s="47"/>
      <c r="D458" s="47"/>
      <c r="E458" s="47"/>
      <c r="F458" s="47"/>
      <c r="G458" s="47"/>
      <c r="H458" s="84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</row>
    <row r="459" spans="1:30" ht="12.75" customHeight="1">
      <c r="A459" s="47"/>
      <c r="B459" s="47"/>
      <c r="C459" s="47"/>
      <c r="D459" s="47"/>
      <c r="E459" s="47"/>
      <c r="F459" s="47"/>
      <c r="G459" s="47"/>
      <c r="H459" s="84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</row>
    <row r="460" spans="1:30" ht="12.75" customHeight="1">
      <c r="A460" s="47"/>
      <c r="B460" s="47"/>
      <c r="C460" s="47"/>
      <c r="D460" s="47"/>
      <c r="E460" s="47"/>
      <c r="F460" s="47"/>
      <c r="G460" s="47"/>
      <c r="H460" s="84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</row>
    <row r="461" spans="1:30" ht="12.75" customHeight="1">
      <c r="A461" s="47"/>
      <c r="B461" s="47"/>
      <c r="C461" s="47"/>
      <c r="D461" s="47"/>
      <c r="E461" s="47"/>
      <c r="F461" s="47"/>
      <c r="G461" s="47"/>
      <c r="H461" s="84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</row>
    <row r="462" spans="1:30" ht="12.75" customHeight="1">
      <c r="A462" s="47"/>
      <c r="B462" s="47"/>
      <c r="C462" s="47"/>
      <c r="D462" s="47"/>
      <c r="E462" s="47"/>
      <c r="F462" s="47"/>
      <c r="G462" s="47"/>
      <c r="H462" s="84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</row>
    <row r="463" spans="1:30" ht="12.75" customHeight="1">
      <c r="A463" s="47"/>
      <c r="B463" s="47"/>
      <c r="C463" s="47"/>
      <c r="D463" s="47"/>
      <c r="E463" s="47"/>
      <c r="F463" s="47"/>
      <c r="G463" s="47"/>
      <c r="H463" s="84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</row>
    <row r="464" spans="1:30" ht="12.75" customHeight="1">
      <c r="A464" s="47"/>
      <c r="B464" s="47"/>
      <c r="C464" s="47"/>
      <c r="D464" s="47"/>
      <c r="E464" s="47"/>
      <c r="F464" s="47"/>
      <c r="G464" s="47"/>
      <c r="H464" s="84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</row>
    <row r="465" spans="1:30" ht="12.75" customHeight="1">
      <c r="A465" s="47"/>
      <c r="B465" s="47"/>
      <c r="C465" s="47"/>
      <c r="D465" s="47"/>
      <c r="E465" s="47"/>
      <c r="F465" s="47"/>
      <c r="G465" s="47"/>
      <c r="H465" s="84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</row>
    <row r="466" spans="1:30" ht="12.75" customHeight="1">
      <c r="A466" s="47"/>
      <c r="B466" s="47"/>
      <c r="C466" s="47"/>
      <c r="D466" s="47"/>
      <c r="E466" s="47"/>
      <c r="F466" s="47"/>
      <c r="G466" s="47"/>
      <c r="H466" s="84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</row>
    <row r="467" spans="1:30" ht="12.75" customHeight="1">
      <c r="A467" s="47"/>
      <c r="B467" s="47"/>
      <c r="C467" s="47"/>
      <c r="D467" s="47"/>
      <c r="E467" s="47"/>
      <c r="F467" s="47"/>
      <c r="G467" s="47"/>
      <c r="H467" s="84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</row>
    <row r="468" spans="1:30" ht="12.75" customHeight="1">
      <c r="A468" s="47"/>
      <c r="B468" s="47"/>
      <c r="C468" s="47"/>
      <c r="D468" s="47"/>
      <c r="E468" s="47"/>
      <c r="F468" s="47"/>
      <c r="G468" s="47"/>
      <c r="H468" s="84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</row>
    <row r="469" spans="1:30" ht="12.75" customHeight="1">
      <c r="A469" s="47"/>
      <c r="B469" s="47"/>
      <c r="C469" s="47"/>
      <c r="D469" s="47"/>
      <c r="E469" s="47"/>
      <c r="F469" s="47"/>
      <c r="G469" s="47"/>
      <c r="H469" s="84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</row>
    <row r="470" spans="1:30" ht="12.75" customHeight="1">
      <c r="A470" s="47"/>
      <c r="B470" s="47"/>
      <c r="C470" s="47"/>
      <c r="D470" s="47"/>
      <c r="E470" s="47"/>
      <c r="F470" s="47"/>
      <c r="G470" s="47"/>
      <c r="H470" s="84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</row>
    <row r="471" spans="1:30" ht="12.75" customHeight="1">
      <c r="A471" s="47"/>
      <c r="B471" s="47"/>
      <c r="C471" s="47"/>
      <c r="D471" s="47"/>
      <c r="E471" s="47"/>
      <c r="F471" s="47"/>
      <c r="G471" s="47"/>
      <c r="H471" s="84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</row>
    <row r="472" spans="1:30" ht="12.75" customHeight="1">
      <c r="A472" s="47"/>
      <c r="B472" s="47"/>
      <c r="C472" s="47"/>
      <c r="D472" s="47"/>
      <c r="E472" s="47"/>
      <c r="F472" s="47"/>
      <c r="G472" s="47"/>
      <c r="H472" s="84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</row>
    <row r="473" spans="1:30" ht="12.75" customHeight="1">
      <c r="A473" s="47"/>
      <c r="B473" s="47"/>
      <c r="C473" s="47"/>
      <c r="D473" s="47"/>
      <c r="E473" s="47"/>
      <c r="F473" s="47"/>
      <c r="G473" s="47"/>
      <c r="H473" s="84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</row>
    <row r="474" spans="1:30" ht="12.75" customHeight="1">
      <c r="A474" s="47"/>
      <c r="B474" s="47"/>
      <c r="C474" s="47"/>
      <c r="D474" s="47"/>
      <c r="E474" s="47"/>
      <c r="F474" s="47"/>
      <c r="G474" s="47"/>
      <c r="H474" s="84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</row>
    <row r="475" spans="1:30" ht="12.75" customHeight="1">
      <c r="A475" s="47"/>
      <c r="B475" s="47"/>
      <c r="C475" s="47"/>
      <c r="D475" s="47"/>
      <c r="E475" s="47"/>
      <c r="F475" s="47"/>
      <c r="G475" s="47"/>
      <c r="H475" s="84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</row>
    <row r="476" spans="1:30" ht="12.75" customHeight="1">
      <c r="A476" s="47"/>
      <c r="B476" s="47"/>
      <c r="C476" s="47"/>
      <c r="D476" s="47"/>
      <c r="E476" s="47"/>
      <c r="F476" s="47"/>
      <c r="G476" s="47"/>
      <c r="H476" s="84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</row>
    <row r="477" spans="1:30" ht="12.75" customHeight="1">
      <c r="A477" s="47"/>
      <c r="B477" s="47"/>
      <c r="C477" s="47"/>
      <c r="D477" s="47"/>
      <c r="E477" s="47"/>
      <c r="F477" s="47"/>
      <c r="G477" s="47"/>
      <c r="H477" s="84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</row>
    <row r="478" spans="1:30" ht="12.75" customHeight="1">
      <c r="A478" s="47"/>
      <c r="B478" s="47"/>
      <c r="C478" s="47"/>
      <c r="D478" s="47"/>
      <c r="E478" s="47"/>
      <c r="F478" s="47"/>
      <c r="G478" s="47"/>
      <c r="H478" s="84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</row>
    <row r="479" spans="1:30" ht="12.75" customHeight="1">
      <c r="A479" s="47"/>
      <c r="B479" s="47"/>
      <c r="C479" s="47"/>
      <c r="D479" s="47"/>
      <c r="E479" s="47"/>
      <c r="F479" s="47"/>
      <c r="G479" s="47"/>
      <c r="H479" s="84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</row>
    <row r="480" spans="1:30" ht="12.75" customHeight="1">
      <c r="A480" s="47"/>
      <c r="B480" s="47"/>
      <c r="C480" s="47"/>
      <c r="D480" s="47"/>
      <c r="E480" s="47"/>
      <c r="F480" s="47"/>
      <c r="G480" s="47"/>
      <c r="H480" s="84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</row>
    <row r="481" spans="1:30" ht="12.75" customHeight="1">
      <c r="A481" s="47"/>
      <c r="B481" s="47"/>
      <c r="C481" s="47"/>
      <c r="D481" s="47"/>
      <c r="E481" s="47"/>
      <c r="F481" s="47"/>
      <c r="G481" s="47"/>
      <c r="H481" s="84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</row>
    <row r="482" spans="1:30" ht="12.75" customHeight="1">
      <c r="A482" s="47"/>
      <c r="B482" s="47"/>
      <c r="C482" s="47"/>
      <c r="D482" s="47"/>
      <c r="E482" s="47"/>
      <c r="F482" s="47"/>
      <c r="G482" s="47"/>
      <c r="H482" s="84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</row>
    <row r="483" spans="1:30" ht="12.75" customHeight="1">
      <c r="A483" s="47"/>
      <c r="B483" s="47"/>
      <c r="C483" s="47"/>
      <c r="D483" s="47"/>
      <c r="E483" s="47"/>
      <c r="F483" s="47"/>
      <c r="G483" s="47"/>
      <c r="H483" s="84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</row>
    <row r="484" spans="1:30" ht="12.75" customHeight="1">
      <c r="A484" s="47"/>
      <c r="B484" s="47"/>
      <c r="C484" s="47"/>
      <c r="D484" s="47"/>
      <c r="E484" s="47"/>
      <c r="F484" s="47"/>
      <c r="G484" s="47"/>
      <c r="H484" s="84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</row>
    <row r="485" spans="1:30" ht="12.75" customHeight="1">
      <c r="A485" s="47"/>
      <c r="B485" s="47"/>
      <c r="C485" s="47"/>
      <c r="D485" s="47"/>
      <c r="E485" s="47"/>
      <c r="F485" s="47"/>
      <c r="G485" s="47"/>
      <c r="H485" s="84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</row>
    <row r="486" spans="1:30" ht="12.75" customHeight="1">
      <c r="A486" s="47"/>
      <c r="B486" s="47"/>
      <c r="C486" s="47"/>
      <c r="D486" s="47"/>
      <c r="E486" s="47"/>
      <c r="F486" s="47"/>
      <c r="G486" s="47"/>
      <c r="H486" s="84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</row>
    <row r="487" spans="1:30" ht="12.75" customHeight="1">
      <c r="A487" s="47"/>
      <c r="B487" s="47"/>
      <c r="C487" s="47"/>
      <c r="D487" s="47"/>
      <c r="E487" s="47"/>
      <c r="F487" s="47"/>
      <c r="G487" s="47"/>
      <c r="H487" s="84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</row>
    <row r="488" spans="1:30" ht="12.75" customHeight="1">
      <c r="A488" s="47"/>
      <c r="B488" s="47"/>
      <c r="C488" s="47"/>
      <c r="D488" s="47"/>
      <c r="E488" s="47"/>
      <c r="F488" s="47"/>
      <c r="G488" s="47"/>
      <c r="H488" s="84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</row>
    <row r="489" spans="1:30" ht="12.75" customHeight="1">
      <c r="A489" s="47"/>
      <c r="B489" s="47"/>
      <c r="C489" s="47"/>
      <c r="D489" s="47"/>
      <c r="E489" s="47"/>
      <c r="F489" s="47"/>
      <c r="G489" s="47"/>
      <c r="H489" s="84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</row>
    <row r="490" spans="1:30" ht="12.75" customHeight="1">
      <c r="A490" s="47"/>
      <c r="B490" s="47"/>
      <c r="C490" s="47"/>
      <c r="D490" s="47"/>
      <c r="E490" s="47"/>
      <c r="F490" s="47"/>
      <c r="G490" s="47"/>
      <c r="H490" s="84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</row>
    <row r="491" spans="1:30" ht="12.75" customHeight="1">
      <c r="A491" s="47"/>
      <c r="B491" s="47"/>
      <c r="C491" s="47"/>
      <c r="D491" s="47"/>
      <c r="E491" s="47"/>
      <c r="F491" s="47"/>
      <c r="G491" s="47"/>
      <c r="H491" s="84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</row>
    <row r="492" spans="1:30" ht="12.75" customHeight="1">
      <c r="A492" s="47"/>
      <c r="B492" s="47"/>
      <c r="C492" s="47"/>
      <c r="D492" s="47"/>
      <c r="E492" s="47"/>
      <c r="F492" s="47"/>
      <c r="G492" s="47"/>
      <c r="H492" s="84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</row>
    <row r="493" spans="1:30" ht="12.75" customHeight="1">
      <c r="A493" s="47"/>
      <c r="B493" s="47"/>
      <c r="C493" s="47"/>
      <c r="D493" s="47"/>
      <c r="E493" s="47"/>
      <c r="F493" s="47"/>
      <c r="G493" s="47"/>
      <c r="H493" s="84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</row>
    <row r="494" spans="1:30" ht="12.75" customHeight="1">
      <c r="A494" s="47"/>
      <c r="B494" s="47"/>
      <c r="C494" s="47"/>
      <c r="D494" s="47"/>
      <c r="E494" s="47"/>
      <c r="F494" s="47"/>
      <c r="G494" s="47"/>
      <c r="H494" s="84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</row>
    <row r="495" spans="1:30" ht="12.75" customHeight="1">
      <c r="A495" s="47"/>
      <c r="B495" s="47"/>
      <c r="C495" s="47"/>
      <c r="D495" s="47"/>
      <c r="E495" s="47"/>
      <c r="F495" s="47"/>
      <c r="G495" s="47"/>
      <c r="H495" s="84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</row>
    <row r="496" spans="1:30" ht="12.75" customHeight="1">
      <c r="A496" s="47"/>
      <c r="B496" s="47"/>
      <c r="C496" s="47"/>
      <c r="D496" s="47"/>
      <c r="E496" s="47"/>
      <c r="F496" s="47"/>
      <c r="G496" s="47"/>
      <c r="H496" s="84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</row>
    <row r="497" spans="1:30" ht="12.75" customHeight="1">
      <c r="A497" s="47"/>
      <c r="B497" s="47"/>
      <c r="C497" s="47"/>
      <c r="D497" s="47"/>
      <c r="E497" s="47"/>
      <c r="F497" s="47"/>
      <c r="G497" s="47"/>
      <c r="H497" s="84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</row>
    <row r="498" spans="1:30" ht="12.75" customHeight="1">
      <c r="A498" s="47"/>
      <c r="B498" s="47"/>
      <c r="C498" s="47"/>
      <c r="D498" s="47"/>
      <c r="E498" s="47"/>
      <c r="F498" s="47"/>
      <c r="G498" s="47"/>
      <c r="H498" s="84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</row>
    <row r="499" spans="1:30" ht="12.75" customHeight="1">
      <c r="A499" s="47"/>
      <c r="B499" s="47"/>
      <c r="C499" s="47"/>
      <c r="D499" s="47"/>
      <c r="E499" s="47"/>
      <c r="F499" s="47"/>
      <c r="G499" s="47"/>
      <c r="H499" s="84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</row>
    <row r="500" spans="1:30" ht="12.75" customHeight="1">
      <c r="A500" s="47"/>
      <c r="B500" s="47"/>
      <c r="C500" s="47"/>
      <c r="D500" s="47"/>
      <c r="E500" s="47"/>
      <c r="F500" s="47"/>
      <c r="G500" s="47"/>
      <c r="H500" s="84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</row>
    <row r="501" spans="1:30" ht="12.75" customHeight="1">
      <c r="A501" s="47"/>
      <c r="B501" s="47"/>
      <c r="C501" s="47"/>
      <c r="D501" s="47"/>
      <c r="E501" s="47"/>
      <c r="F501" s="47"/>
      <c r="G501" s="47"/>
      <c r="H501" s="84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</row>
    <row r="502" spans="1:30" ht="12.75" customHeight="1">
      <c r="A502" s="47"/>
      <c r="B502" s="47"/>
      <c r="C502" s="47"/>
      <c r="D502" s="47"/>
      <c r="E502" s="47"/>
      <c r="F502" s="47"/>
      <c r="G502" s="47"/>
      <c r="H502" s="84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</row>
    <row r="503" spans="1:30" ht="12.75" customHeight="1">
      <c r="A503" s="47"/>
      <c r="B503" s="47"/>
      <c r="C503" s="47"/>
      <c r="D503" s="47"/>
      <c r="E503" s="47"/>
      <c r="F503" s="47"/>
      <c r="G503" s="47"/>
      <c r="H503" s="84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</row>
    <row r="504" spans="1:30" ht="12.75" customHeight="1">
      <c r="A504" s="47"/>
      <c r="B504" s="47"/>
      <c r="C504" s="47"/>
      <c r="D504" s="47"/>
      <c r="E504" s="47"/>
      <c r="F504" s="47"/>
      <c r="G504" s="47"/>
      <c r="H504" s="84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</row>
    <row r="505" spans="1:30" ht="12.75" customHeight="1">
      <c r="A505" s="47"/>
      <c r="B505" s="47"/>
      <c r="C505" s="47"/>
      <c r="D505" s="47"/>
      <c r="E505" s="47"/>
      <c r="F505" s="47"/>
      <c r="G505" s="47"/>
      <c r="H505" s="84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</row>
    <row r="506" spans="1:30" ht="12.75" customHeight="1">
      <c r="A506" s="47"/>
      <c r="B506" s="47"/>
      <c r="C506" s="47"/>
      <c r="D506" s="47"/>
      <c r="E506" s="47"/>
      <c r="F506" s="47"/>
      <c r="G506" s="47"/>
      <c r="H506" s="84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</row>
    <row r="507" spans="1:30" ht="12.75" customHeight="1">
      <c r="A507" s="47"/>
      <c r="B507" s="47"/>
      <c r="C507" s="47"/>
      <c r="D507" s="47"/>
      <c r="E507" s="47"/>
      <c r="F507" s="47"/>
      <c r="G507" s="47"/>
      <c r="H507" s="84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</row>
    <row r="508" spans="1:30" ht="12.75" customHeight="1">
      <c r="A508" s="47"/>
      <c r="B508" s="47"/>
      <c r="C508" s="47"/>
      <c r="D508" s="47"/>
      <c r="E508" s="47"/>
      <c r="F508" s="47"/>
      <c r="G508" s="47"/>
      <c r="H508" s="84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</row>
    <row r="509" spans="1:30" ht="12.75" customHeight="1">
      <c r="A509" s="47"/>
      <c r="B509" s="47"/>
      <c r="C509" s="47"/>
      <c r="D509" s="47"/>
      <c r="E509" s="47"/>
      <c r="F509" s="47"/>
      <c r="G509" s="47"/>
      <c r="H509" s="84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</row>
    <row r="510" spans="1:30" ht="12.75" customHeight="1">
      <c r="A510" s="47"/>
      <c r="B510" s="47"/>
      <c r="C510" s="47"/>
      <c r="D510" s="47"/>
      <c r="E510" s="47"/>
      <c r="F510" s="47"/>
      <c r="G510" s="47"/>
      <c r="H510" s="84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</row>
    <row r="511" spans="1:30" ht="12.75" customHeight="1">
      <c r="A511" s="47"/>
      <c r="B511" s="47"/>
      <c r="C511" s="47"/>
      <c r="D511" s="47"/>
      <c r="E511" s="47"/>
      <c r="F511" s="47"/>
      <c r="G511" s="47"/>
      <c r="H511" s="84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</row>
    <row r="512" spans="1:30" ht="12.75" customHeight="1">
      <c r="A512" s="47"/>
      <c r="B512" s="47"/>
      <c r="C512" s="47"/>
      <c r="D512" s="47"/>
      <c r="E512" s="47"/>
      <c r="F512" s="47"/>
      <c r="G512" s="47"/>
      <c r="H512" s="84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</row>
    <row r="513" spans="1:30" ht="12.75" customHeight="1">
      <c r="A513" s="47"/>
      <c r="B513" s="47"/>
      <c r="C513" s="47"/>
      <c r="D513" s="47"/>
      <c r="E513" s="47"/>
      <c r="F513" s="47"/>
      <c r="G513" s="47"/>
      <c r="H513" s="84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</row>
    <row r="514" spans="1:30" ht="12.75" customHeight="1">
      <c r="A514" s="47"/>
      <c r="B514" s="47"/>
      <c r="C514" s="47"/>
      <c r="D514" s="47"/>
      <c r="E514" s="47"/>
      <c r="F514" s="47"/>
      <c r="G514" s="47"/>
      <c r="H514" s="84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</row>
    <row r="515" spans="1:30" ht="12.75" customHeight="1">
      <c r="A515" s="47"/>
      <c r="B515" s="47"/>
      <c r="C515" s="47"/>
      <c r="D515" s="47"/>
      <c r="E515" s="47"/>
      <c r="F515" s="47"/>
      <c r="G515" s="47"/>
      <c r="H515" s="84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</row>
    <row r="516" spans="1:30" ht="12.75" customHeight="1">
      <c r="A516" s="47"/>
      <c r="B516" s="47"/>
      <c r="C516" s="47"/>
      <c r="D516" s="47"/>
      <c r="E516" s="47"/>
      <c r="F516" s="47"/>
      <c r="G516" s="47"/>
      <c r="H516" s="84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</row>
    <row r="517" spans="1:30" ht="12.75" customHeight="1">
      <c r="A517" s="47"/>
      <c r="B517" s="47"/>
      <c r="C517" s="47"/>
      <c r="D517" s="47"/>
      <c r="E517" s="47"/>
      <c r="F517" s="47"/>
      <c r="G517" s="47"/>
      <c r="H517" s="84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</row>
    <row r="518" spans="1:30" ht="12.75" customHeight="1">
      <c r="A518" s="47"/>
      <c r="B518" s="47"/>
      <c r="C518" s="47"/>
      <c r="D518" s="47"/>
      <c r="E518" s="47"/>
      <c r="F518" s="47"/>
      <c r="G518" s="47"/>
      <c r="H518" s="84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</row>
    <row r="519" spans="1:30" ht="12.75" customHeight="1">
      <c r="A519" s="47"/>
      <c r="B519" s="47"/>
      <c r="C519" s="47"/>
      <c r="D519" s="47"/>
      <c r="E519" s="47"/>
      <c r="F519" s="47"/>
      <c r="G519" s="47"/>
      <c r="H519" s="84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</row>
    <row r="520" spans="1:30" ht="12.75" customHeight="1">
      <c r="A520" s="47"/>
      <c r="B520" s="47"/>
      <c r="C520" s="47"/>
      <c r="D520" s="47"/>
      <c r="E520" s="47"/>
      <c r="F520" s="47"/>
      <c r="G520" s="47"/>
      <c r="H520" s="84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</row>
    <row r="521" spans="1:30" ht="12.75" customHeight="1">
      <c r="A521" s="47"/>
      <c r="B521" s="47"/>
      <c r="C521" s="47"/>
      <c r="D521" s="47"/>
      <c r="E521" s="47"/>
      <c r="F521" s="47"/>
      <c r="G521" s="47"/>
      <c r="H521" s="84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</row>
    <row r="522" spans="1:30" ht="12.75" customHeight="1">
      <c r="A522" s="47"/>
      <c r="B522" s="47"/>
      <c r="C522" s="47"/>
      <c r="D522" s="47"/>
      <c r="E522" s="47"/>
      <c r="F522" s="47"/>
      <c r="G522" s="47"/>
      <c r="H522" s="84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</row>
    <row r="523" spans="1:30" ht="12.75" customHeight="1">
      <c r="A523" s="47"/>
      <c r="B523" s="47"/>
      <c r="C523" s="47"/>
      <c r="D523" s="47"/>
      <c r="E523" s="47"/>
      <c r="F523" s="47"/>
      <c r="G523" s="47"/>
      <c r="H523" s="84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</row>
    <row r="524" spans="1:30" ht="12.75" customHeight="1">
      <c r="A524" s="47"/>
      <c r="B524" s="47"/>
      <c r="C524" s="47"/>
      <c r="D524" s="47"/>
      <c r="E524" s="47"/>
      <c r="F524" s="47"/>
      <c r="G524" s="47"/>
      <c r="H524" s="84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</row>
    <row r="525" spans="1:30" ht="12.75" customHeight="1">
      <c r="A525" s="47"/>
      <c r="B525" s="47"/>
      <c r="C525" s="47"/>
      <c r="D525" s="47"/>
      <c r="E525" s="47"/>
      <c r="F525" s="47"/>
      <c r="G525" s="47"/>
      <c r="H525" s="84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</row>
    <row r="526" spans="1:30" ht="12.75" customHeight="1">
      <c r="A526" s="47"/>
      <c r="B526" s="47"/>
      <c r="C526" s="47"/>
      <c r="D526" s="47"/>
      <c r="E526" s="47"/>
      <c r="F526" s="47"/>
      <c r="G526" s="47"/>
      <c r="H526" s="84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</row>
    <row r="527" spans="1:30" ht="12.75" customHeight="1">
      <c r="A527" s="47"/>
      <c r="B527" s="47"/>
      <c r="C527" s="47"/>
      <c r="D527" s="47"/>
      <c r="E527" s="47"/>
      <c r="F527" s="47"/>
      <c r="G527" s="47"/>
      <c r="H527" s="84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</row>
    <row r="528" spans="1:30" ht="12.75" customHeight="1">
      <c r="A528" s="47"/>
      <c r="B528" s="47"/>
      <c r="C528" s="47"/>
      <c r="D528" s="47"/>
      <c r="E528" s="47"/>
      <c r="F528" s="47"/>
      <c r="G528" s="47"/>
      <c r="H528" s="84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</row>
    <row r="529" spans="1:30" ht="12.75" customHeight="1">
      <c r="A529" s="47"/>
      <c r="B529" s="47"/>
      <c r="C529" s="47"/>
      <c r="D529" s="47"/>
      <c r="E529" s="47"/>
      <c r="F529" s="47"/>
      <c r="G529" s="47"/>
      <c r="H529" s="84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</row>
    <row r="530" spans="1:30" ht="12.75" customHeight="1">
      <c r="A530" s="47"/>
      <c r="B530" s="47"/>
      <c r="C530" s="47"/>
      <c r="D530" s="47"/>
      <c r="E530" s="47"/>
      <c r="F530" s="47"/>
      <c r="G530" s="47"/>
      <c r="H530" s="84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</row>
    <row r="531" spans="1:30" ht="12.75" customHeight="1">
      <c r="A531" s="47"/>
      <c r="B531" s="47"/>
      <c r="C531" s="47"/>
      <c r="D531" s="47"/>
      <c r="E531" s="47"/>
      <c r="F531" s="47"/>
      <c r="G531" s="47"/>
      <c r="H531" s="84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</row>
    <row r="532" spans="1:30" ht="12.75" customHeight="1">
      <c r="A532" s="47"/>
      <c r="B532" s="47"/>
      <c r="C532" s="47"/>
      <c r="D532" s="47"/>
      <c r="E532" s="47"/>
      <c r="F532" s="47"/>
      <c r="G532" s="47"/>
      <c r="H532" s="84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</row>
    <row r="533" spans="1:30" ht="12.75" customHeight="1">
      <c r="A533" s="47"/>
      <c r="B533" s="47"/>
      <c r="C533" s="47"/>
      <c r="D533" s="47"/>
      <c r="E533" s="47"/>
      <c r="F533" s="47"/>
      <c r="G533" s="47"/>
      <c r="H533" s="84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</row>
    <row r="534" spans="1:30" ht="12.75" customHeight="1">
      <c r="A534" s="47"/>
      <c r="B534" s="47"/>
      <c r="C534" s="47"/>
      <c r="D534" s="47"/>
      <c r="E534" s="47"/>
      <c r="F534" s="47"/>
      <c r="G534" s="47"/>
      <c r="H534" s="84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</row>
    <row r="535" spans="1:30" ht="12.75" customHeight="1">
      <c r="A535" s="47"/>
      <c r="B535" s="47"/>
      <c r="C535" s="47"/>
      <c r="D535" s="47"/>
      <c r="E535" s="47"/>
      <c r="F535" s="47"/>
      <c r="G535" s="47"/>
      <c r="H535" s="84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</row>
    <row r="536" spans="1:30" ht="12.75" customHeight="1">
      <c r="A536" s="47"/>
      <c r="B536" s="47"/>
      <c r="C536" s="47"/>
      <c r="D536" s="47"/>
      <c r="E536" s="47"/>
      <c r="F536" s="47"/>
      <c r="G536" s="47"/>
      <c r="H536" s="84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</row>
    <row r="537" spans="1:30" ht="12.75" customHeight="1">
      <c r="A537" s="47"/>
      <c r="B537" s="47"/>
      <c r="C537" s="47"/>
      <c r="D537" s="47"/>
      <c r="E537" s="47"/>
      <c r="F537" s="47"/>
      <c r="G537" s="47"/>
      <c r="H537" s="84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</row>
    <row r="538" spans="1:30" ht="12.75" customHeight="1">
      <c r="A538" s="47"/>
      <c r="B538" s="47"/>
      <c r="C538" s="47"/>
      <c r="D538" s="47"/>
      <c r="E538" s="47"/>
      <c r="F538" s="47"/>
      <c r="G538" s="47"/>
      <c r="H538" s="84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</row>
    <row r="539" spans="1:30" ht="12.75" customHeight="1">
      <c r="A539" s="47"/>
      <c r="B539" s="47"/>
      <c r="C539" s="47"/>
      <c r="D539" s="47"/>
      <c r="E539" s="47"/>
      <c r="F539" s="47"/>
      <c r="G539" s="47"/>
      <c r="H539" s="84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</row>
    <row r="540" spans="1:30" ht="12.75" customHeight="1">
      <c r="A540" s="47"/>
      <c r="B540" s="47"/>
      <c r="C540" s="47"/>
      <c r="D540" s="47"/>
      <c r="E540" s="47"/>
      <c r="F540" s="47"/>
      <c r="G540" s="47"/>
      <c r="H540" s="84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</row>
    <row r="541" spans="1:30" ht="12.75" customHeight="1">
      <c r="A541" s="47"/>
      <c r="B541" s="47"/>
      <c r="C541" s="47"/>
      <c r="D541" s="47"/>
      <c r="E541" s="47"/>
      <c r="F541" s="47"/>
      <c r="G541" s="47"/>
      <c r="H541" s="84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</row>
    <row r="542" spans="1:30" ht="12.75" customHeight="1">
      <c r="A542" s="47"/>
      <c r="B542" s="47"/>
      <c r="C542" s="47"/>
      <c r="D542" s="47"/>
      <c r="E542" s="47"/>
      <c r="F542" s="47"/>
      <c r="G542" s="47"/>
      <c r="H542" s="84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</row>
    <row r="543" spans="1:30" ht="12.75" customHeight="1">
      <c r="A543" s="47"/>
      <c r="B543" s="47"/>
      <c r="C543" s="47"/>
      <c r="D543" s="47"/>
      <c r="E543" s="47"/>
      <c r="F543" s="47"/>
      <c r="G543" s="47"/>
      <c r="H543" s="84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</row>
    <row r="544" spans="1:30" ht="12.75" customHeight="1">
      <c r="A544" s="47"/>
      <c r="B544" s="47"/>
      <c r="C544" s="47"/>
      <c r="D544" s="47"/>
      <c r="E544" s="47"/>
      <c r="F544" s="47"/>
      <c r="G544" s="47"/>
      <c r="H544" s="84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</row>
    <row r="545" spans="1:30" ht="12.75" customHeight="1">
      <c r="A545" s="47"/>
      <c r="B545" s="47"/>
      <c r="C545" s="47"/>
      <c r="D545" s="47"/>
      <c r="E545" s="47"/>
      <c r="F545" s="47"/>
      <c r="G545" s="47"/>
      <c r="H545" s="84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</row>
    <row r="546" spans="1:30" ht="12.75" customHeight="1">
      <c r="A546" s="47"/>
      <c r="B546" s="47"/>
      <c r="C546" s="47"/>
      <c r="D546" s="47"/>
      <c r="E546" s="47"/>
      <c r="F546" s="47"/>
      <c r="G546" s="47"/>
      <c r="H546" s="84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</row>
    <row r="547" spans="1:30" ht="12.75" customHeight="1">
      <c r="A547" s="47"/>
      <c r="B547" s="47"/>
      <c r="C547" s="47"/>
      <c r="D547" s="47"/>
      <c r="E547" s="47"/>
      <c r="F547" s="47"/>
      <c r="G547" s="47"/>
      <c r="H547" s="84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</row>
    <row r="548" spans="1:30" ht="12.75" customHeight="1">
      <c r="A548" s="47"/>
      <c r="B548" s="47"/>
      <c r="C548" s="47"/>
      <c r="D548" s="47"/>
      <c r="E548" s="47"/>
      <c r="F548" s="47"/>
      <c r="G548" s="47"/>
      <c r="H548" s="84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</row>
    <row r="549" spans="1:30" ht="12.75" customHeight="1">
      <c r="A549" s="47"/>
      <c r="B549" s="47"/>
      <c r="C549" s="47"/>
      <c r="D549" s="47"/>
      <c r="E549" s="47"/>
      <c r="F549" s="47"/>
      <c r="G549" s="47"/>
      <c r="H549" s="84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</row>
    <row r="550" spans="1:30" ht="12.75" customHeight="1">
      <c r="A550" s="47"/>
      <c r="B550" s="47"/>
      <c r="C550" s="47"/>
      <c r="D550" s="47"/>
      <c r="E550" s="47"/>
      <c r="F550" s="47"/>
      <c r="G550" s="47"/>
      <c r="H550" s="84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</row>
    <row r="551" spans="1:30" ht="12.75" customHeight="1">
      <c r="A551" s="47"/>
      <c r="B551" s="47"/>
      <c r="C551" s="47"/>
      <c r="D551" s="47"/>
      <c r="E551" s="47"/>
      <c r="F551" s="47"/>
      <c r="G551" s="47"/>
      <c r="H551" s="84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</row>
    <row r="552" spans="1:30" ht="12.75" customHeight="1">
      <c r="A552" s="47"/>
      <c r="B552" s="47"/>
      <c r="C552" s="47"/>
      <c r="D552" s="47"/>
      <c r="E552" s="47"/>
      <c r="F552" s="47"/>
      <c r="G552" s="47"/>
      <c r="H552" s="84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</row>
    <row r="553" spans="1:30" ht="12.75" customHeight="1">
      <c r="A553" s="47"/>
      <c r="B553" s="47"/>
      <c r="C553" s="47"/>
      <c r="D553" s="47"/>
      <c r="E553" s="47"/>
      <c r="F553" s="47"/>
      <c r="G553" s="47"/>
      <c r="H553" s="84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</row>
    <row r="554" spans="1:30" ht="12.75" customHeight="1">
      <c r="A554" s="47"/>
      <c r="B554" s="47"/>
      <c r="C554" s="47"/>
      <c r="D554" s="47"/>
      <c r="E554" s="47"/>
      <c r="F554" s="47"/>
      <c r="G554" s="47"/>
      <c r="H554" s="84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</row>
    <row r="555" spans="1:30" ht="12.75" customHeight="1">
      <c r="A555" s="47"/>
      <c r="B555" s="47"/>
      <c r="C555" s="47"/>
      <c r="D555" s="47"/>
      <c r="E555" s="47"/>
      <c r="F555" s="47"/>
      <c r="G555" s="47"/>
      <c r="H555" s="84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</row>
    <row r="556" spans="1:30" ht="12.75" customHeight="1">
      <c r="A556" s="47"/>
      <c r="B556" s="47"/>
      <c r="C556" s="47"/>
      <c r="D556" s="47"/>
      <c r="E556" s="47"/>
      <c r="F556" s="47"/>
      <c r="G556" s="47"/>
      <c r="H556" s="84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</row>
    <row r="557" spans="1:30" ht="12.75" customHeight="1">
      <c r="A557" s="47"/>
      <c r="B557" s="47"/>
      <c r="C557" s="47"/>
      <c r="D557" s="47"/>
      <c r="E557" s="47"/>
      <c r="F557" s="47"/>
      <c r="G557" s="47"/>
      <c r="H557" s="84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</row>
    <row r="558" spans="1:30" ht="12.75" customHeight="1">
      <c r="A558" s="47"/>
      <c r="B558" s="47"/>
      <c r="C558" s="47"/>
      <c r="D558" s="47"/>
      <c r="E558" s="47"/>
      <c r="F558" s="47"/>
      <c r="G558" s="47"/>
      <c r="H558" s="84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</row>
    <row r="559" spans="1:30" ht="12.75" customHeight="1">
      <c r="A559" s="47"/>
      <c r="B559" s="47"/>
      <c r="C559" s="47"/>
      <c r="D559" s="47"/>
      <c r="E559" s="47"/>
      <c r="F559" s="47"/>
      <c r="G559" s="47"/>
      <c r="H559" s="84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</row>
    <row r="560" spans="1:30" ht="12.75" customHeight="1">
      <c r="A560" s="47"/>
      <c r="B560" s="47"/>
      <c r="C560" s="47"/>
      <c r="D560" s="47"/>
      <c r="E560" s="47"/>
      <c r="F560" s="47"/>
      <c r="G560" s="47"/>
      <c r="H560" s="84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</row>
    <row r="561" spans="1:30" ht="12.75" customHeight="1">
      <c r="A561" s="47"/>
      <c r="B561" s="47"/>
      <c r="C561" s="47"/>
      <c r="D561" s="47"/>
      <c r="E561" s="47"/>
      <c r="F561" s="47"/>
      <c r="G561" s="47"/>
      <c r="H561" s="84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</row>
    <row r="562" spans="1:30" ht="12.75" customHeight="1">
      <c r="A562" s="47"/>
      <c r="B562" s="47"/>
      <c r="C562" s="47"/>
      <c r="D562" s="47"/>
      <c r="E562" s="47"/>
      <c r="F562" s="47"/>
      <c r="G562" s="47"/>
      <c r="H562" s="84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</row>
    <row r="563" spans="1:30" ht="12.75" customHeight="1">
      <c r="A563" s="47"/>
      <c r="B563" s="47"/>
      <c r="C563" s="47"/>
      <c r="D563" s="47"/>
      <c r="E563" s="47"/>
      <c r="F563" s="47"/>
      <c r="G563" s="47"/>
      <c r="H563" s="84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</row>
    <row r="564" spans="1:30" ht="12.75" customHeight="1">
      <c r="A564" s="47"/>
      <c r="B564" s="47"/>
      <c r="C564" s="47"/>
      <c r="D564" s="47"/>
      <c r="E564" s="47"/>
      <c r="F564" s="47"/>
      <c r="G564" s="47"/>
      <c r="H564" s="84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</row>
    <row r="565" spans="1:30" ht="12.75" customHeight="1">
      <c r="A565" s="47"/>
      <c r="B565" s="47"/>
      <c r="C565" s="47"/>
      <c r="D565" s="47"/>
      <c r="E565" s="47"/>
      <c r="F565" s="47"/>
      <c r="G565" s="47"/>
      <c r="H565" s="84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</row>
    <row r="566" spans="1:30" ht="12.75" customHeight="1">
      <c r="A566" s="47"/>
      <c r="B566" s="47"/>
      <c r="C566" s="47"/>
      <c r="D566" s="47"/>
      <c r="E566" s="47"/>
      <c r="F566" s="47"/>
      <c r="G566" s="47"/>
      <c r="H566" s="84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</row>
    <row r="567" spans="1:30" ht="12.75" customHeight="1">
      <c r="A567" s="47"/>
      <c r="B567" s="47"/>
      <c r="C567" s="47"/>
      <c r="D567" s="47"/>
      <c r="E567" s="47"/>
      <c r="F567" s="47"/>
      <c r="G567" s="47"/>
      <c r="H567" s="84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</row>
    <row r="568" spans="1:30" ht="12.75" customHeight="1">
      <c r="A568" s="47"/>
      <c r="B568" s="47"/>
      <c r="C568" s="47"/>
      <c r="D568" s="47"/>
      <c r="E568" s="47"/>
      <c r="F568" s="47"/>
      <c r="G568" s="47"/>
      <c r="H568" s="84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</row>
    <row r="569" spans="1:30" ht="12.75" customHeight="1">
      <c r="A569" s="47"/>
      <c r="B569" s="47"/>
      <c r="C569" s="47"/>
      <c r="D569" s="47"/>
      <c r="E569" s="47"/>
      <c r="F569" s="47"/>
      <c r="G569" s="47"/>
      <c r="H569" s="84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</row>
    <row r="570" spans="1:30" ht="12.75" customHeight="1">
      <c r="A570" s="47"/>
      <c r="B570" s="47"/>
      <c r="C570" s="47"/>
      <c r="D570" s="47"/>
      <c r="E570" s="47"/>
      <c r="F570" s="47"/>
      <c r="G570" s="47"/>
      <c r="H570" s="84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</row>
    <row r="571" spans="1:30" ht="12.75" customHeight="1">
      <c r="A571" s="47"/>
      <c r="B571" s="47"/>
      <c r="C571" s="47"/>
      <c r="D571" s="47"/>
      <c r="E571" s="47"/>
      <c r="F571" s="47"/>
      <c r="G571" s="47"/>
      <c r="H571" s="84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</row>
    <row r="572" spans="1:30" ht="12.75" customHeight="1">
      <c r="A572" s="47"/>
      <c r="B572" s="47"/>
      <c r="C572" s="47"/>
      <c r="D572" s="47"/>
      <c r="E572" s="47"/>
      <c r="F572" s="47"/>
      <c r="G572" s="47"/>
      <c r="H572" s="84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</row>
    <row r="573" spans="1:30" ht="12.75" customHeight="1">
      <c r="A573" s="47"/>
      <c r="B573" s="47"/>
      <c r="C573" s="47"/>
      <c r="D573" s="47"/>
      <c r="E573" s="47"/>
      <c r="F573" s="47"/>
      <c r="G573" s="47"/>
      <c r="H573" s="84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</row>
    <row r="574" spans="1:30" ht="12.75" customHeight="1">
      <c r="A574" s="47"/>
      <c r="B574" s="47"/>
      <c r="C574" s="47"/>
      <c r="D574" s="47"/>
      <c r="E574" s="47"/>
      <c r="F574" s="47"/>
      <c r="G574" s="47"/>
      <c r="H574" s="84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</row>
    <row r="575" spans="1:30" ht="12.75" customHeight="1">
      <c r="A575" s="47"/>
      <c r="B575" s="47"/>
      <c r="C575" s="47"/>
      <c r="D575" s="47"/>
      <c r="E575" s="47"/>
      <c r="F575" s="47"/>
      <c r="G575" s="47"/>
      <c r="H575" s="84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</row>
    <row r="576" spans="1:30" ht="12.75" customHeight="1">
      <c r="A576" s="47"/>
      <c r="B576" s="47"/>
      <c r="C576" s="47"/>
      <c r="D576" s="47"/>
      <c r="E576" s="47"/>
      <c r="F576" s="47"/>
      <c r="G576" s="47"/>
      <c r="H576" s="84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</row>
    <row r="577" spans="1:30" ht="12.75" customHeight="1">
      <c r="A577" s="47"/>
      <c r="B577" s="47"/>
      <c r="C577" s="47"/>
      <c r="D577" s="47"/>
      <c r="E577" s="47"/>
      <c r="F577" s="47"/>
      <c r="G577" s="47"/>
      <c r="H577" s="84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</row>
    <row r="578" spans="1:30" ht="12.75" customHeight="1">
      <c r="A578" s="47"/>
      <c r="B578" s="47"/>
      <c r="C578" s="47"/>
      <c r="D578" s="47"/>
      <c r="E578" s="47"/>
      <c r="F578" s="47"/>
      <c r="G578" s="47"/>
      <c r="H578" s="84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</row>
    <row r="579" spans="1:30" ht="12.75" customHeight="1">
      <c r="A579" s="47"/>
      <c r="B579" s="47"/>
      <c r="C579" s="47"/>
      <c r="D579" s="47"/>
      <c r="E579" s="47"/>
      <c r="F579" s="47"/>
      <c r="G579" s="47"/>
      <c r="H579" s="84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</row>
    <row r="580" spans="1:30" ht="12.75" customHeight="1">
      <c r="A580" s="47"/>
      <c r="B580" s="47"/>
      <c r="C580" s="47"/>
      <c r="D580" s="47"/>
      <c r="E580" s="47"/>
      <c r="F580" s="47"/>
      <c r="G580" s="47"/>
      <c r="H580" s="84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</row>
    <row r="581" spans="1:30" ht="12.75" customHeight="1">
      <c r="A581" s="47"/>
      <c r="B581" s="47"/>
      <c r="C581" s="47"/>
      <c r="D581" s="47"/>
      <c r="E581" s="47"/>
      <c r="F581" s="47"/>
      <c r="G581" s="47"/>
      <c r="H581" s="84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</row>
    <row r="582" spans="1:30" ht="12.75" customHeight="1">
      <c r="A582" s="47"/>
      <c r="B582" s="47"/>
      <c r="C582" s="47"/>
      <c r="D582" s="47"/>
      <c r="E582" s="47"/>
      <c r="F582" s="47"/>
      <c r="G582" s="47"/>
      <c r="H582" s="84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</row>
    <row r="583" spans="1:30" ht="12.75" customHeight="1">
      <c r="A583" s="47"/>
      <c r="B583" s="47"/>
      <c r="C583" s="47"/>
      <c r="D583" s="47"/>
      <c r="E583" s="47"/>
      <c r="F583" s="47"/>
      <c r="G583" s="47"/>
      <c r="H583" s="84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</row>
    <row r="584" spans="1:30" ht="12.75" customHeight="1">
      <c r="A584" s="47"/>
      <c r="B584" s="47"/>
      <c r="C584" s="47"/>
      <c r="D584" s="47"/>
      <c r="E584" s="47"/>
      <c r="F584" s="47"/>
      <c r="G584" s="47"/>
      <c r="H584" s="84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</row>
    <row r="585" spans="1:30" ht="12.75" customHeight="1">
      <c r="A585" s="47"/>
      <c r="B585" s="47"/>
      <c r="C585" s="47"/>
      <c r="D585" s="47"/>
      <c r="E585" s="47"/>
      <c r="F585" s="47"/>
      <c r="G585" s="47"/>
      <c r="H585" s="84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</row>
    <row r="586" spans="1:30" ht="12.75" customHeight="1">
      <c r="A586" s="47"/>
      <c r="B586" s="47"/>
      <c r="C586" s="47"/>
      <c r="D586" s="47"/>
      <c r="E586" s="47"/>
      <c r="F586" s="47"/>
      <c r="G586" s="47"/>
      <c r="H586" s="84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</row>
    <row r="587" spans="1:30" ht="12.75" customHeight="1">
      <c r="A587" s="47"/>
      <c r="B587" s="47"/>
      <c r="C587" s="47"/>
      <c r="D587" s="47"/>
      <c r="E587" s="47"/>
      <c r="F587" s="47"/>
      <c r="G587" s="47"/>
      <c r="H587" s="84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</row>
    <row r="588" spans="1:30" ht="12.75" customHeight="1">
      <c r="A588" s="47"/>
      <c r="B588" s="47"/>
      <c r="C588" s="47"/>
      <c r="D588" s="47"/>
      <c r="E588" s="47"/>
      <c r="F588" s="47"/>
      <c r="G588" s="47"/>
      <c r="H588" s="84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</row>
    <row r="589" spans="1:30" ht="12.75" customHeight="1">
      <c r="A589" s="47"/>
      <c r="B589" s="47"/>
      <c r="C589" s="47"/>
      <c r="D589" s="47"/>
      <c r="E589" s="47"/>
      <c r="F589" s="47"/>
      <c r="G589" s="47"/>
      <c r="H589" s="84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</row>
    <row r="590" spans="1:30" ht="12.75" customHeight="1">
      <c r="A590" s="47"/>
      <c r="B590" s="47"/>
      <c r="C590" s="47"/>
      <c r="D590" s="47"/>
      <c r="E590" s="47"/>
      <c r="F590" s="47"/>
      <c r="G590" s="47"/>
      <c r="H590" s="84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</row>
    <row r="591" spans="1:30" ht="12.75" customHeight="1">
      <c r="A591" s="47"/>
      <c r="B591" s="47"/>
      <c r="C591" s="47"/>
      <c r="D591" s="47"/>
      <c r="E591" s="47"/>
      <c r="F591" s="47"/>
      <c r="G591" s="47"/>
      <c r="H591" s="84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</row>
    <row r="592" spans="1:30" ht="12.75" customHeight="1">
      <c r="A592" s="47"/>
      <c r="B592" s="47"/>
      <c r="C592" s="47"/>
      <c r="D592" s="47"/>
      <c r="E592" s="47"/>
      <c r="F592" s="47"/>
      <c r="G592" s="47"/>
      <c r="H592" s="84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</row>
    <row r="593" spans="1:30" ht="12.75" customHeight="1">
      <c r="A593" s="47"/>
      <c r="B593" s="47"/>
      <c r="C593" s="47"/>
      <c r="D593" s="47"/>
      <c r="E593" s="47"/>
      <c r="F593" s="47"/>
      <c r="G593" s="47"/>
      <c r="H593" s="84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</row>
    <row r="594" spans="1:30" ht="12.75" customHeight="1">
      <c r="A594" s="47"/>
      <c r="B594" s="47"/>
      <c r="C594" s="47"/>
      <c r="D594" s="47"/>
      <c r="E594" s="47"/>
      <c r="F594" s="47"/>
      <c r="G594" s="47"/>
      <c r="H594" s="84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</row>
    <row r="595" spans="1:30" ht="12.75" customHeight="1">
      <c r="A595" s="47"/>
      <c r="B595" s="47"/>
      <c r="C595" s="47"/>
      <c r="D595" s="47"/>
      <c r="E595" s="47"/>
      <c r="F595" s="47"/>
      <c r="G595" s="47"/>
      <c r="H595" s="84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</row>
    <row r="596" spans="1:30" ht="12.75" customHeight="1">
      <c r="A596" s="47"/>
      <c r="B596" s="47"/>
      <c r="C596" s="47"/>
      <c r="D596" s="47"/>
      <c r="E596" s="47"/>
      <c r="F596" s="47"/>
      <c r="G596" s="47"/>
      <c r="H596" s="84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</row>
    <row r="597" spans="1:30" ht="12.75" customHeight="1">
      <c r="A597" s="47"/>
      <c r="B597" s="47"/>
      <c r="C597" s="47"/>
      <c r="D597" s="47"/>
      <c r="E597" s="47"/>
      <c r="F597" s="47"/>
      <c r="G597" s="47"/>
      <c r="H597" s="84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</row>
    <row r="598" spans="1:30" ht="12.75" customHeight="1">
      <c r="A598" s="47"/>
      <c r="B598" s="47"/>
      <c r="C598" s="47"/>
      <c r="D598" s="47"/>
      <c r="E598" s="47"/>
      <c r="F598" s="47"/>
      <c r="G598" s="47"/>
      <c r="H598" s="84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</row>
    <row r="599" spans="1:30" ht="12.75" customHeight="1">
      <c r="A599" s="47"/>
      <c r="B599" s="47"/>
      <c r="C599" s="47"/>
      <c r="D599" s="47"/>
      <c r="E599" s="47"/>
      <c r="F599" s="47"/>
      <c r="G599" s="47"/>
      <c r="H599" s="84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</row>
    <row r="600" spans="1:30" ht="12.75" customHeight="1">
      <c r="A600" s="47"/>
      <c r="B600" s="47"/>
      <c r="C600" s="47"/>
      <c r="D600" s="47"/>
      <c r="E600" s="47"/>
      <c r="F600" s="47"/>
      <c r="G600" s="47"/>
      <c r="H600" s="84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</row>
    <row r="601" spans="1:30" ht="12.75" customHeight="1">
      <c r="A601" s="47"/>
      <c r="B601" s="47"/>
      <c r="C601" s="47"/>
      <c r="D601" s="47"/>
      <c r="E601" s="47"/>
      <c r="F601" s="47"/>
      <c r="G601" s="47"/>
      <c r="H601" s="84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</row>
    <row r="602" spans="1:30" ht="12.75" customHeight="1">
      <c r="A602" s="47"/>
      <c r="B602" s="47"/>
      <c r="C602" s="47"/>
      <c r="D602" s="47"/>
      <c r="E602" s="47"/>
      <c r="F602" s="47"/>
      <c r="G602" s="47"/>
      <c r="H602" s="84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</row>
    <row r="603" spans="1:30" ht="12.75" customHeight="1">
      <c r="A603" s="47"/>
      <c r="B603" s="47"/>
      <c r="C603" s="47"/>
      <c r="D603" s="47"/>
      <c r="E603" s="47"/>
      <c r="F603" s="47"/>
      <c r="G603" s="47"/>
      <c r="H603" s="84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</row>
    <row r="604" spans="1:30" ht="12.75" customHeight="1">
      <c r="A604" s="47"/>
      <c r="B604" s="47"/>
      <c r="C604" s="47"/>
      <c r="D604" s="47"/>
      <c r="E604" s="47"/>
      <c r="F604" s="47"/>
      <c r="G604" s="47"/>
      <c r="H604" s="84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</row>
    <row r="605" spans="1:30" ht="12.75" customHeight="1">
      <c r="A605" s="47"/>
      <c r="B605" s="47"/>
      <c r="C605" s="47"/>
      <c r="D605" s="47"/>
      <c r="E605" s="47"/>
      <c r="F605" s="47"/>
      <c r="G605" s="47"/>
      <c r="H605" s="84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</row>
    <row r="606" spans="1:30" ht="12.75" customHeight="1">
      <c r="A606" s="47"/>
      <c r="B606" s="47"/>
      <c r="C606" s="47"/>
      <c r="D606" s="47"/>
      <c r="E606" s="47"/>
      <c r="F606" s="47"/>
      <c r="G606" s="47"/>
      <c r="H606" s="84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</row>
    <row r="607" spans="1:30" ht="12.75" customHeight="1">
      <c r="A607" s="47"/>
      <c r="B607" s="47"/>
      <c r="C607" s="47"/>
      <c r="D607" s="47"/>
      <c r="E607" s="47"/>
      <c r="F607" s="47"/>
      <c r="G607" s="47"/>
      <c r="H607" s="84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</row>
    <row r="608" spans="1:30" ht="12.75" customHeight="1">
      <c r="A608" s="47"/>
      <c r="B608" s="47"/>
      <c r="C608" s="47"/>
      <c r="D608" s="47"/>
      <c r="E608" s="47"/>
      <c r="F608" s="47"/>
      <c r="G608" s="47"/>
      <c r="H608" s="84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</row>
    <row r="609" spans="1:30" ht="12.75" customHeight="1">
      <c r="A609" s="47"/>
      <c r="B609" s="47"/>
      <c r="C609" s="47"/>
      <c r="D609" s="47"/>
      <c r="E609" s="47"/>
      <c r="F609" s="47"/>
      <c r="G609" s="47"/>
      <c r="H609" s="84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</row>
    <row r="610" spans="1:30" ht="12.75" customHeight="1">
      <c r="A610" s="47"/>
      <c r="B610" s="47"/>
      <c r="C610" s="47"/>
      <c r="D610" s="47"/>
      <c r="E610" s="47"/>
      <c r="F610" s="47"/>
      <c r="G610" s="47"/>
      <c r="H610" s="84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</row>
    <row r="611" spans="1:30" ht="12.75" customHeight="1">
      <c r="A611" s="47"/>
      <c r="B611" s="47"/>
      <c r="C611" s="47"/>
      <c r="D611" s="47"/>
      <c r="E611" s="47"/>
      <c r="F611" s="47"/>
      <c r="G611" s="47"/>
      <c r="H611" s="84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</row>
    <row r="612" spans="1:30" ht="12.75" customHeight="1">
      <c r="A612" s="47"/>
      <c r="B612" s="47"/>
      <c r="C612" s="47"/>
      <c r="D612" s="47"/>
      <c r="E612" s="47"/>
      <c r="F612" s="47"/>
      <c r="G612" s="47"/>
      <c r="H612" s="84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</row>
    <row r="613" spans="1:30" ht="12.75" customHeight="1">
      <c r="A613" s="47"/>
      <c r="B613" s="47"/>
      <c r="C613" s="47"/>
      <c r="D613" s="47"/>
      <c r="E613" s="47"/>
      <c r="F613" s="47"/>
      <c r="G613" s="47"/>
      <c r="H613" s="84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</row>
    <row r="614" spans="1:30" ht="12.75" customHeight="1">
      <c r="A614" s="47"/>
      <c r="B614" s="47"/>
      <c r="C614" s="47"/>
      <c r="D614" s="47"/>
      <c r="E614" s="47"/>
      <c r="F614" s="47"/>
      <c r="G614" s="47"/>
      <c r="H614" s="84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</row>
    <row r="615" spans="1:30" ht="12.75" customHeight="1">
      <c r="A615" s="47"/>
      <c r="B615" s="47"/>
      <c r="C615" s="47"/>
      <c r="D615" s="47"/>
      <c r="E615" s="47"/>
      <c r="F615" s="47"/>
      <c r="G615" s="47"/>
      <c r="H615" s="84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</row>
    <row r="616" spans="1:30" ht="12.75" customHeight="1">
      <c r="A616" s="47"/>
      <c r="B616" s="47"/>
      <c r="C616" s="47"/>
      <c r="D616" s="47"/>
      <c r="E616" s="47"/>
      <c r="F616" s="47"/>
      <c r="G616" s="47"/>
      <c r="H616" s="84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</row>
    <row r="617" spans="1:30" ht="12.75" customHeight="1">
      <c r="A617" s="47"/>
      <c r="B617" s="47"/>
      <c r="C617" s="47"/>
      <c r="D617" s="47"/>
      <c r="E617" s="47"/>
      <c r="F617" s="47"/>
      <c r="G617" s="47"/>
      <c r="H617" s="84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</row>
    <row r="618" spans="1:30" ht="12.75" customHeight="1">
      <c r="A618" s="47"/>
      <c r="B618" s="47"/>
      <c r="C618" s="47"/>
      <c r="D618" s="47"/>
      <c r="E618" s="47"/>
      <c r="F618" s="47"/>
      <c r="G618" s="47"/>
      <c r="H618" s="84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</row>
    <row r="619" spans="1:30" ht="12.75" customHeight="1">
      <c r="A619" s="47"/>
      <c r="B619" s="47"/>
      <c r="C619" s="47"/>
      <c r="D619" s="47"/>
      <c r="E619" s="47"/>
      <c r="F619" s="47"/>
      <c r="G619" s="47"/>
      <c r="H619" s="84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</row>
    <row r="620" spans="1:30" ht="12.75" customHeight="1">
      <c r="A620" s="47"/>
      <c r="B620" s="47"/>
      <c r="C620" s="47"/>
      <c r="D620" s="47"/>
      <c r="E620" s="47"/>
      <c r="F620" s="47"/>
      <c r="G620" s="47"/>
      <c r="H620" s="84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</row>
    <row r="621" spans="1:30" ht="12.75" customHeight="1">
      <c r="A621" s="47"/>
      <c r="B621" s="47"/>
      <c r="C621" s="47"/>
      <c r="D621" s="47"/>
      <c r="E621" s="47"/>
      <c r="F621" s="47"/>
      <c r="G621" s="47"/>
      <c r="H621" s="84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</row>
    <row r="622" spans="1:30" ht="12.75" customHeight="1">
      <c r="A622" s="47"/>
      <c r="B622" s="47"/>
      <c r="C622" s="47"/>
      <c r="D622" s="47"/>
      <c r="E622" s="47"/>
      <c r="F622" s="47"/>
      <c r="G622" s="47"/>
      <c r="H622" s="84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</row>
    <row r="623" spans="1:30" ht="12.75" customHeight="1">
      <c r="A623" s="47"/>
      <c r="B623" s="47"/>
      <c r="C623" s="47"/>
      <c r="D623" s="47"/>
      <c r="E623" s="47"/>
      <c r="F623" s="47"/>
      <c r="G623" s="47"/>
      <c r="H623" s="84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</row>
    <row r="624" spans="1:30" ht="12.75" customHeight="1">
      <c r="A624" s="47"/>
      <c r="B624" s="47"/>
      <c r="C624" s="47"/>
      <c r="D624" s="47"/>
      <c r="E624" s="47"/>
      <c r="F624" s="47"/>
      <c r="G624" s="47"/>
      <c r="H624" s="84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</row>
    <row r="625" spans="1:30" ht="12.75" customHeight="1">
      <c r="A625" s="47"/>
      <c r="B625" s="47"/>
      <c r="C625" s="47"/>
      <c r="D625" s="47"/>
      <c r="E625" s="47"/>
      <c r="F625" s="47"/>
      <c r="G625" s="47"/>
      <c r="H625" s="84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</row>
    <row r="626" spans="1:30" ht="12.75" customHeight="1">
      <c r="A626" s="47"/>
      <c r="B626" s="47"/>
      <c r="C626" s="47"/>
      <c r="D626" s="47"/>
      <c r="E626" s="47"/>
      <c r="F626" s="47"/>
      <c r="G626" s="47"/>
      <c r="H626" s="84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</row>
    <row r="627" spans="1:30" ht="12.75" customHeight="1">
      <c r="A627" s="47"/>
      <c r="B627" s="47"/>
      <c r="C627" s="47"/>
      <c r="D627" s="47"/>
      <c r="E627" s="47"/>
      <c r="F627" s="47"/>
      <c r="G627" s="47"/>
      <c r="H627" s="84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</row>
    <row r="628" spans="1:30" ht="12.75" customHeight="1">
      <c r="A628" s="47"/>
      <c r="B628" s="47"/>
      <c r="C628" s="47"/>
      <c r="D628" s="47"/>
      <c r="E628" s="47"/>
      <c r="F628" s="47"/>
      <c r="G628" s="47"/>
      <c r="H628" s="84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</row>
    <row r="629" spans="1:30" ht="12.75" customHeight="1">
      <c r="A629" s="47"/>
      <c r="B629" s="47"/>
      <c r="C629" s="47"/>
      <c r="D629" s="47"/>
      <c r="E629" s="47"/>
      <c r="F629" s="47"/>
      <c r="G629" s="47"/>
      <c r="H629" s="84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</row>
    <row r="630" spans="1:30" ht="12.75" customHeight="1">
      <c r="A630" s="47"/>
      <c r="B630" s="47"/>
      <c r="C630" s="47"/>
      <c r="D630" s="47"/>
      <c r="E630" s="47"/>
      <c r="F630" s="47"/>
      <c r="G630" s="47"/>
      <c r="H630" s="84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</row>
    <row r="631" spans="1:30" ht="12.75" customHeight="1">
      <c r="A631" s="47"/>
      <c r="B631" s="47"/>
      <c r="C631" s="47"/>
      <c r="D631" s="47"/>
      <c r="E631" s="47"/>
      <c r="F631" s="47"/>
      <c r="G631" s="47"/>
      <c r="H631" s="84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</row>
    <row r="632" spans="1:30" ht="12.75" customHeight="1">
      <c r="A632" s="47"/>
      <c r="B632" s="47"/>
      <c r="C632" s="47"/>
      <c r="D632" s="47"/>
      <c r="E632" s="47"/>
      <c r="F632" s="47"/>
      <c r="G632" s="47"/>
      <c r="H632" s="84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</row>
    <row r="633" spans="1:30" ht="12.75" customHeight="1">
      <c r="A633" s="47"/>
      <c r="B633" s="47"/>
      <c r="C633" s="47"/>
      <c r="D633" s="47"/>
      <c r="E633" s="47"/>
      <c r="F633" s="47"/>
      <c r="G633" s="47"/>
      <c r="H633" s="84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</row>
    <row r="634" spans="1:30" ht="12.75" customHeight="1">
      <c r="A634" s="47"/>
      <c r="B634" s="47"/>
      <c r="C634" s="47"/>
      <c r="D634" s="47"/>
      <c r="E634" s="47"/>
      <c r="F634" s="47"/>
      <c r="G634" s="47"/>
      <c r="H634" s="84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</row>
    <row r="635" spans="1:30" ht="12.75" customHeight="1">
      <c r="A635" s="47"/>
      <c r="B635" s="47"/>
      <c r="C635" s="47"/>
      <c r="D635" s="47"/>
      <c r="E635" s="47"/>
      <c r="F635" s="47"/>
      <c r="G635" s="47"/>
      <c r="H635" s="84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</row>
    <row r="636" spans="1:30" ht="12.75" customHeight="1">
      <c r="A636" s="47"/>
      <c r="B636" s="47"/>
      <c r="C636" s="47"/>
      <c r="D636" s="47"/>
      <c r="E636" s="47"/>
      <c r="F636" s="47"/>
      <c r="G636" s="47"/>
      <c r="H636" s="84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</row>
    <row r="637" spans="1:30" ht="12.75" customHeight="1">
      <c r="A637" s="47"/>
      <c r="B637" s="47"/>
      <c r="C637" s="47"/>
      <c r="D637" s="47"/>
      <c r="E637" s="47"/>
      <c r="F637" s="47"/>
      <c r="G637" s="47"/>
      <c r="H637" s="84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</row>
    <row r="638" spans="1:30" ht="12.75" customHeight="1">
      <c r="A638" s="47"/>
      <c r="B638" s="47"/>
      <c r="C638" s="47"/>
      <c r="D638" s="47"/>
      <c r="E638" s="47"/>
      <c r="F638" s="47"/>
      <c r="G638" s="47"/>
      <c r="H638" s="84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</row>
    <row r="639" spans="1:30" ht="12.75" customHeight="1">
      <c r="A639" s="47"/>
      <c r="B639" s="47"/>
      <c r="C639" s="47"/>
      <c r="D639" s="47"/>
      <c r="E639" s="47"/>
      <c r="F639" s="47"/>
      <c r="G639" s="47"/>
      <c r="H639" s="84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</row>
    <row r="640" spans="1:30" ht="12.75" customHeight="1">
      <c r="A640" s="47"/>
      <c r="B640" s="47"/>
      <c r="C640" s="47"/>
      <c r="D640" s="47"/>
      <c r="E640" s="47"/>
      <c r="F640" s="47"/>
      <c r="G640" s="47"/>
      <c r="H640" s="84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</row>
    <row r="641" spans="1:30" ht="12.75" customHeight="1">
      <c r="A641" s="47"/>
      <c r="B641" s="47"/>
      <c r="C641" s="47"/>
      <c r="D641" s="47"/>
      <c r="E641" s="47"/>
      <c r="F641" s="47"/>
      <c r="G641" s="47"/>
      <c r="H641" s="84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</row>
    <row r="642" spans="1:30" ht="12.75" customHeight="1">
      <c r="A642" s="47"/>
      <c r="B642" s="47"/>
      <c r="C642" s="47"/>
      <c r="D642" s="47"/>
      <c r="E642" s="47"/>
      <c r="F642" s="47"/>
      <c r="G642" s="47"/>
      <c r="H642" s="84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</row>
    <row r="643" spans="1:30" ht="12.75" customHeight="1">
      <c r="A643" s="47"/>
      <c r="B643" s="47"/>
      <c r="C643" s="47"/>
      <c r="D643" s="47"/>
      <c r="E643" s="47"/>
      <c r="F643" s="47"/>
      <c r="G643" s="47"/>
      <c r="H643" s="84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</row>
    <row r="644" spans="1:30" ht="12.75" customHeight="1">
      <c r="A644" s="47"/>
      <c r="B644" s="47"/>
      <c r="C644" s="47"/>
      <c r="D644" s="47"/>
      <c r="E644" s="47"/>
      <c r="F644" s="47"/>
      <c r="G644" s="47"/>
      <c r="H644" s="84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</row>
    <row r="645" spans="1:30" ht="12.75" customHeight="1">
      <c r="A645" s="47"/>
      <c r="B645" s="47"/>
      <c r="C645" s="47"/>
      <c r="D645" s="47"/>
      <c r="E645" s="47"/>
      <c r="F645" s="47"/>
      <c r="G645" s="47"/>
      <c r="H645" s="84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</row>
    <row r="646" spans="1:30" ht="12.75" customHeight="1">
      <c r="A646" s="47"/>
      <c r="B646" s="47"/>
      <c r="C646" s="47"/>
      <c r="D646" s="47"/>
      <c r="E646" s="47"/>
      <c r="F646" s="47"/>
      <c r="G646" s="47"/>
      <c r="H646" s="84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</row>
    <row r="647" spans="1:30" ht="12.75" customHeight="1">
      <c r="A647" s="47"/>
      <c r="B647" s="47"/>
      <c r="C647" s="47"/>
      <c r="D647" s="47"/>
      <c r="E647" s="47"/>
      <c r="F647" s="47"/>
      <c r="G647" s="47"/>
      <c r="H647" s="84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</row>
    <row r="648" spans="1:30" ht="12.75" customHeight="1">
      <c r="A648" s="47"/>
      <c r="B648" s="47"/>
      <c r="C648" s="47"/>
      <c r="D648" s="47"/>
      <c r="E648" s="47"/>
      <c r="F648" s="47"/>
      <c r="G648" s="47"/>
      <c r="H648" s="84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</row>
    <row r="649" spans="1:30" ht="12.75" customHeight="1">
      <c r="A649" s="47"/>
      <c r="B649" s="47"/>
      <c r="C649" s="47"/>
      <c r="D649" s="47"/>
      <c r="E649" s="47"/>
      <c r="F649" s="47"/>
      <c r="G649" s="47"/>
      <c r="H649" s="84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</row>
    <row r="650" spans="1:30" ht="12.75" customHeight="1">
      <c r="A650" s="47"/>
      <c r="B650" s="47"/>
      <c r="C650" s="47"/>
      <c r="D650" s="47"/>
      <c r="E650" s="47"/>
      <c r="F650" s="47"/>
      <c r="G650" s="47"/>
      <c r="H650" s="84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</row>
    <row r="651" spans="1:30" ht="12.75" customHeight="1">
      <c r="A651" s="47"/>
      <c r="B651" s="47"/>
      <c r="C651" s="47"/>
      <c r="D651" s="47"/>
      <c r="E651" s="47"/>
      <c r="F651" s="47"/>
      <c r="G651" s="47"/>
      <c r="H651" s="84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</row>
    <row r="652" spans="1:30" ht="12.75" customHeight="1">
      <c r="A652" s="47"/>
      <c r="B652" s="47"/>
      <c r="C652" s="47"/>
      <c r="D652" s="47"/>
      <c r="E652" s="47"/>
      <c r="F652" s="47"/>
      <c r="G652" s="47"/>
      <c r="H652" s="84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</row>
    <row r="653" spans="1:30" ht="12.75" customHeight="1">
      <c r="A653" s="47"/>
      <c r="B653" s="47"/>
      <c r="C653" s="47"/>
      <c r="D653" s="47"/>
      <c r="E653" s="47"/>
      <c r="F653" s="47"/>
      <c r="G653" s="47"/>
      <c r="H653" s="84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</row>
    <row r="654" spans="1:30" ht="12.75" customHeight="1">
      <c r="A654" s="47"/>
      <c r="B654" s="47"/>
      <c r="C654" s="47"/>
      <c r="D654" s="47"/>
      <c r="E654" s="47"/>
      <c r="F654" s="47"/>
      <c r="G654" s="47"/>
      <c r="H654" s="84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</row>
    <row r="655" spans="1:30" ht="12.75" customHeight="1">
      <c r="A655" s="47"/>
      <c r="B655" s="47"/>
      <c r="C655" s="47"/>
      <c r="D655" s="47"/>
      <c r="E655" s="47"/>
      <c r="F655" s="47"/>
      <c r="G655" s="47"/>
      <c r="H655" s="84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</row>
    <row r="656" spans="1:30" ht="12.75" customHeight="1">
      <c r="A656" s="47"/>
      <c r="B656" s="47"/>
      <c r="C656" s="47"/>
      <c r="D656" s="47"/>
      <c r="E656" s="47"/>
      <c r="F656" s="47"/>
      <c r="G656" s="47"/>
      <c r="H656" s="84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</row>
    <row r="657" spans="1:30" ht="12.75" customHeight="1">
      <c r="A657" s="47"/>
      <c r="B657" s="47"/>
      <c r="C657" s="47"/>
      <c r="D657" s="47"/>
      <c r="E657" s="47"/>
      <c r="F657" s="47"/>
      <c r="G657" s="47"/>
      <c r="H657" s="84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</row>
    <row r="658" spans="1:30" ht="12.75" customHeight="1">
      <c r="A658" s="47"/>
      <c r="B658" s="47"/>
      <c r="C658" s="47"/>
      <c r="D658" s="47"/>
      <c r="E658" s="47"/>
      <c r="F658" s="47"/>
      <c r="G658" s="47"/>
      <c r="H658" s="84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</row>
    <row r="659" spans="1:30" ht="12.75" customHeight="1">
      <c r="A659" s="47"/>
      <c r="B659" s="47"/>
      <c r="C659" s="47"/>
      <c r="D659" s="47"/>
      <c r="E659" s="47"/>
      <c r="F659" s="47"/>
      <c r="G659" s="47"/>
      <c r="H659" s="84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</row>
    <row r="660" spans="1:30" ht="12.75" customHeight="1">
      <c r="A660" s="47"/>
      <c r="B660" s="47"/>
      <c r="C660" s="47"/>
      <c r="D660" s="47"/>
      <c r="E660" s="47"/>
      <c r="F660" s="47"/>
      <c r="G660" s="47"/>
      <c r="H660" s="84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</row>
    <row r="661" spans="1:30" ht="12.75" customHeight="1">
      <c r="A661" s="47"/>
      <c r="B661" s="47"/>
      <c r="C661" s="47"/>
      <c r="D661" s="47"/>
      <c r="E661" s="47"/>
      <c r="F661" s="47"/>
      <c r="G661" s="47"/>
      <c r="H661" s="84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</row>
    <row r="662" spans="1:30" ht="12.75" customHeight="1">
      <c r="A662" s="47"/>
      <c r="B662" s="47"/>
      <c r="C662" s="47"/>
      <c r="D662" s="47"/>
      <c r="E662" s="47"/>
      <c r="F662" s="47"/>
      <c r="G662" s="47"/>
      <c r="H662" s="84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</row>
    <row r="663" spans="1:30" ht="12.75" customHeight="1">
      <c r="A663" s="47"/>
      <c r="B663" s="47"/>
      <c r="C663" s="47"/>
      <c r="D663" s="47"/>
      <c r="E663" s="47"/>
      <c r="F663" s="47"/>
      <c r="G663" s="47"/>
      <c r="H663" s="84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</row>
    <row r="664" spans="1:30" ht="12.75" customHeight="1">
      <c r="A664" s="47"/>
      <c r="B664" s="47"/>
      <c r="C664" s="47"/>
      <c r="D664" s="47"/>
      <c r="E664" s="47"/>
      <c r="F664" s="47"/>
      <c r="G664" s="47"/>
      <c r="H664" s="84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</row>
    <row r="665" spans="1:30" ht="12.75" customHeight="1">
      <c r="A665" s="47"/>
      <c r="B665" s="47"/>
      <c r="C665" s="47"/>
      <c r="D665" s="47"/>
      <c r="E665" s="47"/>
      <c r="F665" s="47"/>
      <c r="G665" s="47"/>
      <c r="H665" s="84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</row>
    <row r="666" spans="1:30" ht="12.75" customHeight="1">
      <c r="A666" s="47"/>
      <c r="B666" s="47"/>
      <c r="C666" s="47"/>
      <c r="D666" s="47"/>
      <c r="E666" s="47"/>
      <c r="F666" s="47"/>
      <c r="G666" s="47"/>
      <c r="H666" s="84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</row>
    <row r="667" spans="1:30" ht="12.75" customHeight="1">
      <c r="A667" s="47"/>
      <c r="B667" s="47"/>
      <c r="C667" s="47"/>
      <c r="D667" s="47"/>
      <c r="E667" s="47"/>
      <c r="F667" s="47"/>
      <c r="G667" s="47"/>
      <c r="H667" s="84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</row>
    <row r="668" spans="1:30" ht="12.75" customHeight="1">
      <c r="A668" s="47"/>
      <c r="B668" s="47"/>
      <c r="C668" s="47"/>
      <c r="D668" s="47"/>
      <c r="E668" s="47"/>
      <c r="F668" s="47"/>
      <c r="G668" s="47"/>
      <c r="H668" s="84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</row>
    <row r="669" spans="1:30" ht="12.75" customHeight="1">
      <c r="A669" s="47"/>
      <c r="B669" s="47"/>
      <c r="C669" s="47"/>
      <c r="D669" s="47"/>
      <c r="E669" s="47"/>
      <c r="F669" s="47"/>
      <c r="G669" s="47"/>
      <c r="H669" s="84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</row>
    <row r="670" spans="1:30" ht="12.75" customHeight="1">
      <c r="A670" s="47"/>
      <c r="B670" s="47"/>
      <c r="C670" s="47"/>
      <c r="D670" s="47"/>
      <c r="E670" s="47"/>
      <c r="F670" s="47"/>
      <c r="G670" s="47"/>
      <c r="H670" s="84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</row>
    <row r="671" spans="1:30" ht="12.75" customHeight="1">
      <c r="A671" s="47"/>
      <c r="B671" s="47"/>
      <c r="C671" s="47"/>
      <c r="D671" s="47"/>
      <c r="E671" s="47"/>
      <c r="F671" s="47"/>
      <c r="G671" s="47"/>
      <c r="H671" s="84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</row>
    <row r="672" spans="1:30" ht="12.75" customHeight="1">
      <c r="A672" s="47"/>
      <c r="B672" s="47"/>
      <c r="C672" s="47"/>
      <c r="D672" s="47"/>
      <c r="E672" s="47"/>
      <c r="F672" s="47"/>
      <c r="G672" s="47"/>
      <c r="H672" s="84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</row>
    <row r="673" spans="1:30" ht="12.75" customHeight="1">
      <c r="A673" s="47"/>
      <c r="B673" s="47"/>
      <c r="C673" s="47"/>
      <c r="D673" s="47"/>
      <c r="E673" s="47"/>
      <c r="F673" s="47"/>
      <c r="G673" s="47"/>
      <c r="H673" s="84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</row>
    <row r="674" spans="1:30" ht="12.75" customHeight="1">
      <c r="A674" s="47"/>
      <c r="B674" s="47"/>
      <c r="C674" s="47"/>
      <c r="D674" s="47"/>
      <c r="E674" s="47"/>
      <c r="F674" s="47"/>
      <c r="G674" s="47"/>
      <c r="H674" s="84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</row>
    <row r="675" spans="1:30" ht="12.75" customHeight="1">
      <c r="A675" s="47"/>
      <c r="B675" s="47"/>
      <c r="C675" s="47"/>
      <c r="D675" s="47"/>
      <c r="E675" s="47"/>
      <c r="F675" s="47"/>
      <c r="G675" s="47"/>
      <c r="H675" s="84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</row>
    <row r="676" spans="1:30" ht="12.75" customHeight="1">
      <c r="A676" s="47"/>
      <c r="B676" s="47"/>
      <c r="C676" s="47"/>
      <c r="D676" s="47"/>
      <c r="E676" s="47"/>
      <c r="F676" s="47"/>
      <c r="G676" s="47"/>
      <c r="H676" s="84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</row>
    <row r="677" spans="1:30" ht="12.75" customHeight="1">
      <c r="A677" s="47"/>
      <c r="B677" s="47"/>
      <c r="C677" s="47"/>
      <c r="D677" s="47"/>
      <c r="E677" s="47"/>
      <c r="F677" s="47"/>
      <c r="G677" s="47"/>
      <c r="H677" s="84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</row>
    <row r="678" spans="1:30" ht="12.75" customHeight="1">
      <c r="A678" s="47"/>
      <c r="B678" s="47"/>
      <c r="C678" s="47"/>
      <c r="D678" s="47"/>
      <c r="E678" s="47"/>
      <c r="F678" s="47"/>
      <c r="G678" s="47"/>
      <c r="H678" s="84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</row>
    <row r="679" spans="1:30" ht="12.75" customHeight="1">
      <c r="A679" s="47"/>
      <c r="B679" s="47"/>
      <c r="C679" s="47"/>
      <c r="D679" s="47"/>
      <c r="E679" s="47"/>
      <c r="F679" s="47"/>
      <c r="G679" s="47"/>
      <c r="H679" s="84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</row>
    <row r="680" spans="1:30" ht="12.75" customHeight="1">
      <c r="A680" s="47"/>
      <c r="B680" s="47"/>
      <c r="C680" s="47"/>
      <c r="D680" s="47"/>
      <c r="E680" s="47"/>
      <c r="F680" s="47"/>
      <c r="G680" s="47"/>
      <c r="H680" s="84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</row>
    <row r="681" spans="1:30" ht="12.75" customHeight="1">
      <c r="A681" s="47"/>
      <c r="B681" s="47"/>
      <c r="C681" s="47"/>
      <c r="D681" s="47"/>
      <c r="E681" s="47"/>
      <c r="F681" s="47"/>
      <c r="G681" s="47"/>
      <c r="H681" s="84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</row>
    <row r="682" spans="1:30" ht="12.75" customHeight="1">
      <c r="A682" s="47"/>
      <c r="B682" s="47"/>
      <c r="C682" s="47"/>
      <c r="D682" s="47"/>
      <c r="E682" s="47"/>
      <c r="F682" s="47"/>
      <c r="G682" s="47"/>
      <c r="H682" s="84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</row>
    <row r="683" spans="1:30" ht="12.75" customHeight="1">
      <c r="A683" s="47"/>
      <c r="B683" s="47"/>
      <c r="C683" s="47"/>
      <c r="D683" s="47"/>
      <c r="E683" s="47"/>
      <c r="F683" s="47"/>
      <c r="G683" s="47"/>
      <c r="H683" s="84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</row>
    <row r="684" spans="1:30" ht="12.75" customHeight="1">
      <c r="A684" s="47"/>
      <c r="B684" s="47"/>
      <c r="C684" s="47"/>
      <c r="D684" s="47"/>
      <c r="E684" s="47"/>
      <c r="F684" s="47"/>
      <c r="G684" s="47"/>
      <c r="H684" s="84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</row>
    <row r="685" spans="1:30" ht="12.75" customHeight="1">
      <c r="A685" s="47"/>
      <c r="B685" s="47"/>
      <c r="C685" s="47"/>
      <c r="D685" s="47"/>
      <c r="E685" s="47"/>
      <c r="F685" s="47"/>
      <c r="G685" s="47"/>
      <c r="H685" s="84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</row>
    <row r="686" spans="1:30" ht="12.75" customHeight="1">
      <c r="A686" s="47"/>
      <c r="B686" s="47"/>
      <c r="C686" s="47"/>
      <c r="D686" s="47"/>
      <c r="E686" s="47"/>
      <c r="F686" s="47"/>
      <c r="G686" s="47"/>
      <c r="H686" s="84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</row>
    <row r="687" spans="1:30" ht="12.75" customHeight="1">
      <c r="A687" s="47"/>
      <c r="B687" s="47"/>
      <c r="C687" s="47"/>
      <c r="D687" s="47"/>
      <c r="E687" s="47"/>
      <c r="F687" s="47"/>
      <c r="G687" s="47"/>
      <c r="H687" s="84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</row>
    <row r="688" spans="1:30" ht="12.75" customHeight="1">
      <c r="A688" s="47"/>
      <c r="B688" s="47"/>
      <c r="C688" s="47"/>
      <c r="D688" s="47"/>
      <c r="E688" s="47"/>
      <c r="F688" s="47"/>
      <c r="G688" s="47"/>
      <c r="H688" s="84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</row>
    <row r="689" spans="1:30" ht="12.75" customHeight="1">
      <c r="A689" s="47"/>
      <c r="B689" s="47"/>
      <c r="C689" s="47"/>
      <c r="D689" s="47"/>
      <c r="E689" s="47"/>
      <c r="F689" s="47"/>
      <c r="G689" s="47"/>
      <c r="H689" s="84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</row>
    <row r="690" spans="1:30" ht="12.75" customHeight="1">
      <c r="A690" s="47"/>
      <c r="B690" s="47"/>
      <c r="C690" s="47"/>
      <c r="D690" s="47"/>
      <c r="E690" s="47"/>
      <c r="F690" s="47"/>
      <c r="G690" s="47"/>
      <c r="H690" s="84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</row>
    <row r="691" spans="1:30" ht="12.75" customHeight="1">
      <c r="A691" s="47"/>
      <c r="B691" s="47"/>
      <c r="C691" s="47"/>
      <c r="D691" s="47"/>
      <c r="E691" s="47"/>
      <c r="F691" s="47"/>
      <c r="G691" s="47"/>
      <c r="H691" s="84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</row>
    <row r="692" spans="1:30" ht="12.75" customHeight="1">
      <c r="A692" s="47"/>
      <c r="B692" s="47"/>
      <c r="C692" s="47"/>
      <c r="D692" s="47"/>
      <c r="E692" s="47"/>
      <c r="F692" s="47"/>
      <c r="G692" s="47"/>
      <c r="H692" s="84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</row>
    <row r="693" spans="1:30" ht="12.75" customHeight="1">
      <c r="A693" s="47"/>
      <c r="B693" s="47"/>
      <c r="C693" s="47"/>
      <c r="D693" s="47"/>
      <c r="E693" s="47"/>
      <c r="F693" s="47"/>
      <c r="G693" s="47"/>
      <c r="H693" s="84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</row>
    <row r="694" spans="1:30" ht="12.75" customHeight="1">
      <c r="A694" s="47"/>
      <c r="B694" s="47"/>
      <c r="C694" s="47"/>
      <c r="D694" s="47"/>
      <c r="E694" s="47"/>
      <c r="F694" s="47"/>
      <c r="G694" s="47"/>
      <c r="H694" s="84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</row>
    <row r="695" spans="1:30" ht="12.75" customHeight="1">
      <c r="A695" s="47"/>
      <c r="B695" s="47"/>
      <c r="C695" s="47"/>
      <c r="D695" s="47"/>
      <c r="E695" s="47"/>
      <c r="F695" s="47"/>
      <c r="G695" s="47"/>
      <c r="H695" s="84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</row>
    <row r="696" spans="1:30" ht="12.75" customHeight="1">
      <c r="A696" s="47"/>
      <c r="B696" s="47"/>
      <c r="C696" s="47"/>
      <c r="D696" s="47"/>
      <c r="E696" s="47"/>
      <c r="F696" s="47"/>
      <c r="G696" s="47"/>
      <c r="H696" s="84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</row>
    <row r="697" spans="1:30" ht="12.75" customHeight="1">
      <c r="A697" s="47"/>
      <c r="B697" s="47"/>
      <c r="C697" s="47"/>
      <c r="D697" s="47"/>
      <c r="E697" s="47"/>
      <c r="F697" s="47"/>
      <c r="G697" s="47"/>
      <c r="H697" s="84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</row>
    <row r="698" spans="1:30" ht="12.75" customHeight="1">
      <c r="A698" s="47"/>
      <c r="B698" s="47"/>
      <c r="C698" s="47"/>
      <c r="D698" s="47"/>
      <c r="E698" s="47"/>
      <c r="F698" s="47"/>
      <c r="G698" s="47"/>
      <c r="H698" s="84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</row>
    <row r="699" spans="1:30" ht="12.75" customHeight="1">
      <c r="A699" s="47"/>
      <c r="B699" s="47"/>
      <c r="C699" s="47"/>
      <c r="D699" s="47"/>
      <c r="E699" s="47"/>
      <c r="F699" s="47"/>
      <c r="G699" s="47"/>
      <c r="H699" s="84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</row>
    <row r="700" spans="1:30" ht="12.75" customHeight="1">
      <c r="A700" s="47"/>
      <c r="B700" s="47"/>
      <c r="C700" s="47"/>
      <c r="D700" s="47"/>
      <c r="E700" s="47"/>
      <c r="F700" s="47"/>
      <c r="G700" s="47"/>
      <c r="H700" s="84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</row>
    <row r="701" spans="1:30" ht="12.75" customHeight="1">
      <c r="A701" s="47"/>
      <c r="B701" s="47"/>
      <c r="C701" s="47"/>
      <c r="D701" s="47"/>
      <c r="E701" s="47"/>
      <c r="F701" s="47"/>
      <c r="G701" s="47"/>
      <c r="H701" s="84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</row>
    <row r="702" spans="1:30" ht="12.75" customHeight="1">
      <c r="A702" s="47"/>
      <c r="B702" s="47"/>
      <c r="C702" s="47"/>
      <c r="D702" s="47"/>
      <c r="E702" s="47"/>
      <c r="F702" s="47"/>
      <c r="G702" s="47"/>
      <c r="H702" s="84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</row>
    <row r="703" spans="1:30" ht="12.75" customHeight="1">
      <c r="A703" s="47"/>
      <c r="B703" s="47"/>
      <c r="C703" s="47"/>
      <c r="D703" s="47"/>
      <c r="E703" s="47"/>
      <c r="F703" s="47"/>
      <c r="G703" s="47"/>
      <c r="H703" s="84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</row>
    <row r="704" spans="1:30" ht="12.75" customHeight="1">
      <c r="A704" s="47"/>
      <c r="B704" s="47"/>
      <c r="C704" s="47"/>
      <c r="D704" s="47"/>
      <c r="E704" s="47"/>
      <c r="F704" s="47"/>
      <c r="G704" s="47"/>
      <c r="H704" s="84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</row>
    <row r="705" spans="1:30" ht="12.75" customHeight="1">
      <c r="A705" s="47"/>
      <c r="B705" s="47"/>
      <c r="C705" s="47"/>
      <c r="D705" s="47"/>
      <c r="E705" s="47"/>
      <c r="F705" s="47"/>
      <c r="G705" s="47"/>
      <c r="H705" s="84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</row>
    <row r="706" spans="1:30" ht="12.75" customHeight="1">
      <c r="A706" s="47"/>
      <c r="B706" s="47"/>
      <c r="C706" s="47"/>
      <c r="D706" s="47"/>
      <c r="E706" s="47"/>
      <c r="F706" s="47"/>
      <c r="G706" s="47"/>
      <c r="H706" s="84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</row>
    <row r="707" spans="1:30" ht="12.75" customHeight="1">
      <c r="A707" s="47"/>
      <c r="B707" s="47"/>
      <c r="C707" s="47"/>
      <c r="D707" s="47"/>
      <c r="E707" s="47"/>
      <c r="F707" s="47"/>
      <c r="G707" s="47"/>
      <c r="H707" s="84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</row>
    <row r="708" spans="1:30" ht="12.75" customHeight="1">
      <c r="A708" s="47"/>
      <c r="B708" s="47"/>
      <c r="C708" s="47"/>
      <c r="D708" s="47"/>
      <c r="E708" s="47"/>
      <c r="F708" s="47"/>
      <c r="G708" s="47"/>
      <c r="H708" s="84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</row>
    <row r="709" spans="1:30" ht="12.75" customHeight="1">
      <c r="A709" s="47"/>
      <c r="B709" s="47"/>
      <c r="C709" s="47"/>
      <c r="D709" s="47"/>
      <c r="E709" s="47"/>
      <c r="F709" s="47"/>
      <c r="G709" s="47"/>
      <c r="H709" s="84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</row>
    <row r="710" spans="1:30" ht="12.75" customHeight="1">
      <c r="A710" s="47"/>
      <c r="B710" s="47"/>
      <c r="C710" s="47"/>
      <c r="D710" s="47"/>
      <c r="E710" s="47"/>
      <c r="F710" s="47"/>
      <c r="G710" s="47"/>
      <c r="H710" s="84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</row>
    <row r="711" spans="1:30" ht="12.75" customHeight="1">
      <c r="A711" s="47"/>
      <c r="B711" s="47"/>
      <c r="C711" s="47"/>
      <c r="D711" s="47"/>
      <c r="E711" s="47"/>
      <c r="F711" s="47"/>
      <c r="G711" s="47"/>
      <c r="H711" s="84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</row>
    <row r="712" spans="1:30" ht="12.75" customHeight="1">
      <c r="A712" s="47"/>
      <c r="B712" s="47"/>
      <c r="C712" s="47"/>
      <c r="D712" s="47"/>
      <c r="E712" s="47"/>
      <c r="F712" s="47"/>
      <c r="G712" s="47"/>
      <c r="H712" s="84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</row>
    <row r="713" spans="1:30" ht="12.75" customHeight="1">
      <c r="A713" s="47"/>
      <c r="B713" s="47"/>
      <c r="C713" s="47"/>
      <c r="D713" s="47"/>
      <c r="E713" s="47"/>
      <c r="F713" s="47"/>
      <c r="G713" s="47"/>
      <c r="H713" s="84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</row>
    <row r="714" spans="1:30" ht="12.75" customHeight="1">
      <c r="A714" s="47"/>
      <c r="B714" s="47"/>
      <c r="C714" s="47"/>
      <c r="D714" s="47"/>
      <c r="E714" s="47"/>
      <c r="F714" s="47"/>
      <c r="G714" s="47"/>
      <c r="H714" s="84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</row>
    <row r="715" spans="1:30" ht="12.75" customHeight="1">
      <c r="A715" s="47"/>
      <c r="B715" s="47"/>
      <c r="C715" s="47"/>
      <c r="D715" s="47"/>
      <c r="E715" s="47"/>
      <c r="F715" s="47"/>
      <c r="G715" s="47"/>
      <c r="H715" s="84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</row>
    <row r="716" spans="1:30" ht="12.75" customHeight="1">
      <c r="A716" s="47"/>
      <c r="B716" s="47"/>
      <c r="C716" s="47"/>
      <c r="D716" s="47"/>
      <c r="E716" s="47"/>
      <c r="F716" s="47"/>
      <c r="G716" s="47"/>
      <c r="H716" s="84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</row>
    <row r="717" spans="1:30" ht="12.75" customHeight="1">
      <c r="A717" s="47"/>
      <c r="B717" s="47"/>
      <c r="C717" s="47"/>
      <c r="D717" s="47"/>
      <c r="E717" s="47"/>
      <c r="F717" s="47"/>
      <c r="G717" s="47"/>
      <c r="H717" s="84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</row>
    <row r="718" spans="1:30" ht="12.75" customHeight="1">
      <c r="A718" s="47"/>
      <c r="B718" s="47"/>
      <c r="C718" s="47"/>
      <c r="D718" s="47"/>
      <c r="E718" s="47"/>
      <c r="F718" s="47"/>
      <c r="G718" s="47"/>
      <c r="H718" s="84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</row>
    <row r="719" spans="1:30" ht="12.75" customHeight="1">
      <c r="A719" s="47"/>
      <c r="B719" s="47"/>
      <c r="C719" s="47"/>
      <c r="D719" s="47"/>
      <c r="E719" s="47"/>
      <c r="F719" s="47"/>
      <c r="G719" s="47"/>
      <c r="H719" s="84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</row>
    <row r="720" spans="1:30" ht="12.75" customHeight="1">
      <c r="A720" s="47"/>
      <c r="B720" s="47"/>
      <c r="C720" s="47"/>
      <c r="D720" s="47"/>
      <c r="E720" s="47"/>
      <c r="F720" s="47"/>
      <c r="G720" s="47"/>
      <c r="H720" s="84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</row>
    <row r="721" spans="1:30" ht="12.75" customHeight="1">
      <c r="A721" s="47"/>
      <c r="B721" s="47"/>
      <c r="C721" s="47"/>
      <c r="D721" s="47"/>
      <c r="E721" s="47"/>
      <c r="F721" s="47"/>
      <c r="G721" s="47"/>
      <c r="H721" s="84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</row>
    <row r="722" spans="1:30" ht="12.75" customHeight="1">
      <c r="A722" s="47"/>
      <c r="B722" s="47"/>
      <c r="C722" s="47"/>
      <c r="D722" s="47"/>
      <c r="E722" s="47"/>
      <c r="F722" s="47"/>
      <c r="G722" s="47"/>
      <c r="H722" s="84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</row>
    <row r="723" spans="1:30" ht="12.75" customHeight="1">
      <c r="A723" s="47"/>
      <c r="B723" s="47"/>
      <c r="C723" s="47"/>
      <c r="D723" s="47"/>
      <c r="E723" s="47"/>
      <c r="F723" s="47"/>
      <c r="G723" s="47"/>
      <c r="H723" s="84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</row>
    <row r="724" spans="1:30" ht="12.75" customHeight="1">
      <c r="A724" s="47"/>
      <c r="B724" s="47"/>
      <c r="C724" s="47"/>
      <c r="D724" s="47"/>
      <c r="E724" s="47"/>
      <c r="F724" s="47"/>
      <c r="G724" s="47"/>
      <c r="H724" s="84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</row>
    <row r="725" spans="1:30" ht="12.75" customHeight="1">
      <c r="A725" s="47"/>
      <c r="B725" s="47"/>
      <c r="C725" s="47"/>
      <c r="D725" s="47"/>
      <c r="E725" s="47"/>
      <c r="F725" s="47"/>
      <c r="G725" s="47"/>
      <c r="H725" s="84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</row>
    <row r="726" spans="1:30" ht="12.75" customHeight="1">
      <c r="A726" s="47"/>
      <c r="B726" s="47"/>
      <c r="C726" s="47"/>
      <c r="D726" s="47"/>
      <c r="E726" s="47"/>
      <c r="F726" s="47"/>
      <c r="G726" s="47"/>
      <c r="H726" s="84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</row>
    <row r="727" spans="1:30" ht="12.75" customHeight="1">
      <c r="A727" s="47"/>
      <c r="B727" s="47"/>
      <c r="C727" s="47"/>
      <c r="D727" s="47"/>
      <c r="E727" s="47"/>
      <c r="F727" s="47"/>
      <c r="G727" s="47"/>
      <c r="H727" s="84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</row>
    <row r="728" spans="1:30" ht="12.75" customHeight="1">
      <c r="A728" s="47"/>
      <c r="B728" s="47"/>
      <c r="C728" s="47"/>
      <c r="D728" s="47"/>
      <c r="E728" s="47"/>
      <c r="F728" s="47"/>
      <c r="G728" s="47"/>
      <c r="H728" s="84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</row>
    <row r="729" spans="1:30" ht="12.75" customHeight="1">
      <c r="A729" s="47"/>
      <c r="B729" s="47"/>
      <c r="C729" s="47"/>
      <c r="D729" s="47"/>
      <c r="E729" s="47"/>
      <c r="F729" s="47"/>
      <c r="G729" s="47"/>
      <c r="H729" s="84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</row>
    <row r="730" spans="1:30" ht="12.75" customHeight="1">
      <c r="A730" s="47"/>
      <c r="B730" s="47"/>
      <c r="C730" s="47"/>
      <c r="D730" s="47"/>
      <c r="E730" s="47"/>
      <c r="F730" s="47"/>
      <c r="G730" s="47"/>
      <c r="H730" s="84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</row>
    <row r="731" spans="1:30" ht="12.75" customHeight="1">
      <c r="A731" s="47"/>
      <c r="B731" s="47"/>
      <c r="C731" s="47"/>
      <c r="D731" s="47"/>
      <c r="E731" s="47"/>
      <c r="F731" s="47"/>
      <c r="G731" s="47"/>
      <c r="H731" s="84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</row>
    <row r="732" spans="1:30" ht="12.75" customHeight="1">
      <c r="A732" s="47"/>
      <c r="B732" s="47"/>
      <c r="C732" s="47"/>
      <c r="D732" s="47"/>
      <c r="E732" s="47"/>
      <c r="F732" s="47"/>
      <c r="G732" s="47"/>
      <c r="H732" s="84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</row>
    <row r="733" spans="1:30" ht="12.75" customHeight="1">
      <c r="A733" s="47"/>
      <c r="B733" s="47"/>
      <c r="C733" s="47"/>
      <c r="D733" s="47"/>
      <c r="E733" s="47"/>
      <c r="F733" s="47"/>
      <c r="G733" s="47"/>
      <c r="H733" s="84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</row>
    <row r="734" spans="1:30" ht="12.75" customHeight="1">
      <c r="A734" s="47"/>
      <c r="B734" s="47"/>
      <c r="C734" s="47"/>
      <c r="D734" s="47"/>
      <c r="E734" s="47"/>
      <c r="F734" s="47"/>
      <c r="G734" s="47"/>
      <c r="H734" s="84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</row>
    <row r="735" spans="1:30" ht="12.75" customHeight="1">
      <c r="A735" s="47"/>
      <c r="B735" s="47"/>
      <c r="C735" s="47"/>
      <c r="D735" s="47"/>
      <c r="E735" s="47"/>
      <c r="F735" s="47"/>
      <c r="G735" s="47"/>
      <c r="H735" s="84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</row>
    <row r="736" spans="1:30" ht="12.75" customHeight="1">
      <c r="A736" s="47"/>
      <c r="B736" s="47"/>
      <c r="C736" s="47"/>
      <c r="D736" s="47"/>
      <c r="E736" s="47"/>
      <c r="F736" s="47"/>
      <c r="G736" s="47"/>
      <c r="H736" s="84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</row>
    <row r="737" spans="1:30" ht="12.75" customHeight="1">
      <c r="A737" s="47"/>
      <c r="B737" s="47"/>
      <c r="C737" s="47"/>
      <c r="D737" s="47"/>
      <c r="E737" s="47"/>
      <c r="F737" s="47"/>
      <c r="G737" s="47"/>
      <c r="H737" s="84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</row>
    <row r="738" spans="1:30" ht="12.75" customHeight="1">
      <c r="A738" s="47"/>
      <c r="B738" s="47"/>
      <c r="C738" s="47"/>
      <c r="D738" s="47"/>
      <c r="E738" s="47"/>
      <c r="F738" s="47"/>
      <c r="G738" s="47"/>
      <c r="H738" s="84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</row>
    <row r="739" spans="1:30" ht="12.75" customHeight="1">
      <c r="A739" s="47"/>
      <c r="B739" s="47"/>
      <c r="C739" s="47"/>
      <c r="D739" s="47"/>
      <c r="E739" s="47"/>
      <c r="F739" s="47"/>
      <c r="G739" s="47"/>
      <c r="H739" s="84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</row>
    <row r="740" spans="1:30" ht="12.75" customHeight="1">
      <c r="A740" s="47"/>
      <c r="B740" s="47"/>
      <c r="C740" s="47"/>
      <c r="D740" s="47"/>
      <c r="E740" s="47"/>
      <c r="F740" s="47"/>
      <c r="G740" s="47"/>
      <c r="H740" s="84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</row>
    <row r="741" spans="1:30" ht="12.75" customHeight="1">
      <c r="A741" s="47"/>
      <c r="B741" s="47"/>
      <c r="C741" s="47"/>
      <c r="D741" s="47"/>
      <c r="E741" s="47"/>
      <c r="F741" s="47"/>
      <c r="G741" s="47"/>
      <c r="H741" s="84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</row>
    <row r="742" spans="1:30" ht="12.75" customHeight="1">
      <c r="A742" s="47"/>
      <c r="B742" s="47"/>
      <c r="C742" s="47"/>
      <c r="D742" s="47"/>
      <c r="E742" s="47"/>
      <c r="F742" s="47"/>
      <c r="G742" s="47"/>
      <c r="H742" s="84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</row>
    <row r="743" spans="1:30" ht="12.75" customHeight="1">
      <c r="A743" s="47"/>
      <c r="B743" s="47"/>
      <c r="C743" s="47"/>
      <c r="D743" s="47"/>
      <c r="E743" s="47"/>
      <c r="F743" s="47"/>
      <c r="G743" s="47"/>
      <c r="H743" s="84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</row>
    <row r="744" spans="1:30" ht="12.75" customHeight="1">
      <c r="A744" s="47"/>
      <c r="B744" s="47"/>
      <c r="C744" s="47"/>
      <c r="D744" s="47"/>
      <c r="E744" s="47"/>
      <c r="F744" s="47"/>
      <c r="G744" s="47"/>
      <c r="H744" s="84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</row>
    <row r="745" spans="1:30" ht="12.75" customHeight="1">
      <c r="A745" s="47"/>
      <c r="B745" s="47"/>
      <c r="C745" s="47"/>
      <c r="D745" s="47"/>
      <c r="E745" s="47"/>
      <c r="F745" s="47"/>
      <c r="G745" s="47"/>
      <c r="H745" s="84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</row>
    <row r="746" spans="1:30" ht="12.75" customHeight="1">
      <c r="A746" s="47"/>
      <c r="B746" s="47"/>
      <c r="C746" s="47"/>
      <c r="D746" s="47"/>
      <c r="E746" s="47"/>
      <c r="F746" s="47"/>
      <c r="G746" s="47"/>
      <c r="H746" s="84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</row>
    <row r="747" spans="1:30" ht="12.75" customHeight="1">
      <c r="A747" s="47"/>
      <c r="B747" s="47"/>
      <c r="C747" s="47"/>
      <c r="D747" s="47"/>
      <c r="E747" s="47"/>
      <c r="F747" s="47"/>
      <c r="G747" s="47"/>
      <c r="H747" s="84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</row>
    <row r="748" spans="1:30" ht="12.75" customHeight="1">
      <c r="A748" s="47"/>
      <c r="B748" s="47"/>
      <c r="C748" s="47"/>
      <c r="D748" s="47"/>
      <c r="E748" s="47"/>
      <c r="F748" s="47"/>
      <c r="G748" s="47"/>
      <c r="H748" s="84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</row>
    <row r="749" spans="1:30" ht="12.75" customHeight="1">
      <c r="A749" s="47"/>
      <c r="B749" s="47"/>
      <c r="C749" s="47"/>
      <c r="D749" s="47"/>
      <c r="E749" s="47"/>
      <c r="F749" s="47"/>
      <c r="G749" s="47"/>
      <c r="H749" s="84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</row>
    <row r="750" spans="1:30" ht="12.75" customHeight="1">
      <c r="A750" s="47"/>
      <c r="B750" s="47"/>
      <c r="C750" s="47"/>
      <c r="D750" s="47"/>
      <c r="E750" s="47"/>
      <c r="F750" s="47"/>
      <c r="G750" s="47"/>
      <c r="H750" s="84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</row>
    <row r="751" spans="1:30" ht="12.75" customHeight="1">
      <c r="A751" s="47"/>
      <c r="B751" s="47"/>
      <c r="C751" s="47"/>
      <c r="D751" s="47"/>
      <c r="E751" s="47"/>
      <c r="F751" s="47"/>
      <c r="G751" s="47"/>
      <c r="H751" s="84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</row>
    <row r="752" spans="1:30" ht="12.75" customHeight="1">
      <c r="A752" s="47"/>
      <c r="B752" s="47"/>
      <c r="C752" s="47"/>
      <c r="D752" s="47"/>
      <c r="E752" s="47"/>
      <c r="F752" s="47"/>
      <c r="G752" s="47"/>
      <c r="H752" s="84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</row>
    <row r="753" spans="1:30" ht="12.75" customHeight="1">
      <c r="A753" s="47"/>
      <c r="B753" s="47"/>
      <c r="C753" s="47"/>
      <c r="D753" s="47"/>
      <c r="E753" s="47"/>
      <c r="F753" s="47"/>
      <c r="G753" s="47"/>
      <c r="H753" s="84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</row>
    <row r="754" spans="1:30" ht="12.75" customHeight="1">
      <c r="A754" s="47"/>
      <c r="B754" s="47"/>
      <c r="C754" s="47"/>
      <c r="D754" s="47"/>
      <c r="E754" s="47"/>
      <c r="F754" s="47"/>
      <c r="G754" s="47"/>
      <c r="H754" s="84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</row>
    <row r="755" spans="1:30" ht="12.75" customHeight="1">
      <c r="A755" s="47"/>
      <c r="B755" s="47"/>
      <c r="C755" s="47"/>
      <c r="D755" s="47"/>
      <c r="E755" s="47"/>
      <c r="F755" s="47"/>
      <c r="G755" s="47"/>
      <c r="H755" s="84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</row>
    <row r="756" spans="1:30" ht="12.75" customHeight="1">
      <c r="A756" s="47"/>
      <c r="B756" s="47"/>
      <c r="C756" s="47"/>
      <c r="D756" s="47"/>
      <c r="E756" s="47"/>
      <c r="F756" s="47"/>
      <c r="G756" s="47"/>
      <c r="H756" s="84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</row>
    <row r="757" spans="1:30" ht="12.75" customHeight="1">
      <c r="A757" s="47"/>
      <c r="B757" s="47"/>
      <c r="C757" s="47"/>
      <c r="D757" s="47"/>
      <c r="E757" s="47"/>
      <c r="F757" s="47"/>
      <c r="G757" s="47"/>
      <c r="H757" s="84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</row>
    <row r="758" spans="1:30" ht="12.75" customHeight="1">
      <c r="A758" s="47"/>
      <c r="B758" s="47"/>
      <c r="C758" s="47"/>
      <c r="D758" s="47"/>
      <c r="E758" s="47"/>
      <c r="F758" s="47"/>
      <c r="G758" s="47"/>
      <c r="H758" s="84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</row>
    <row r="759" spans="1:30" ht="12.75" customHeight="1">
      <c r="A759" s="47"/>
      <c r="B759" s="47"/>
      <c r="C759" s="47"/>
      <c r="D759" s="47"/>
      <c r="E759" s="47"/>
      <c r="F759" s="47"/>
      <c r="G759" s="47"/>
      <c r="H759" s="84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</row>
    <row r="760" spans="1:30" ht="12.75" customHeight="1">
      <c r="A760" s="47"/>
      <c r="B760" s="47"/>
      <c r="C760" s="47"/>
      <c r="D760" s="47"/>
      <c r="E760" s="47"/>
      <c r="F760" s="47"/>
      <c r="G760" s="47"/>
      <c r="H760" s="84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</row>
    <row r="761" spans="1:30" ht="12.75" customHeight="1">
      <c r="A761" s="47"/>
      <c r="B761" s="47"/>
      <c r="C761" s="47"/>
      <c r="D761" s="47"/>
      <c r="E761" s="47"/>
      <c r="F761" s="47"/>
      <c r="G761" s="47"/>
      <c r="H761" s="84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</row>
    <row r="762" spans="1:30" ht="12.75" customHeight="1">
      <c r="A762" s="47"/>
      <c r="B762" s="47"/>
      <c r="C762" s="47"/>
      <c r="D762" s="47"/>
      <c r="E762" s="47"/>
      <c r="F762" s="47"/>
      <c r="G762" s="47"/>
      <c r="H762" s="84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</row>
    <row r="763" spans="1:30" ht="12.75" customHeight="1">
      <c r="A763" s="47"/>
      <c r="B763" s="47"/>
      <c r="C763" s="47"/>
      <c r="D763" s="47"/>
      <c r="E763" s="47"/>
      <c r="F763" s="47"/>
      <c r="G763" s="47"/>
      <c r="H763" s="84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</row>
    <row r="764" spans="1:30" ht="12.75" customHeight="1">
      <c r="A764" s="47"/>
      <c r="B764" s="47"/>
      <c r="C764" s="47"/>
      <c r="D764" s="47"/>
      <c r="E764" s="47"/>
      <c r="F764" s="47"/>
      <c r="G764" s="47"/>
      <c r="H764" s="84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</row>
    <row r="765" spans="1:30" ht="12.75" customHeight="1">
      <c r="A765" s="47"/>
      <c r="B765" s="47"/>
      <c r="C765" s="47"/>
      <c r="D765" s="47"/>
      <c r="E765" s="47"/>
      <c r="F765" s="47"/>
      <c r="G765" s="47"/>
      <c r="H765" s="84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</row>
    <row r="766" spans="1:30" ht="12.75" customHeight="1">
      <c r="A766" s="47"/>
      <c r="B766" s="47"/>
      <c r="C766" s="47"/>
      <c r="D766" s="47"/>
      <c r="E766" s="47"/>
      <c r="F766" s="47"/>
      <c r="G766" s="47"/>
      <c r="H766" s="84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</row>
    <row r="767" spans="1:30" ht="12.75" customHeight="1">
      <c r="A767" s="47"/>
      <c r="B767" s="47"/>
      <c r="C767" s="47"/>
      <c r="D767" s="47"/>
      <c r="E767" s="47"/>
      <c r="F767" s="47"/>
      <c r="G767" s="47"/>
      <c r="H767" s="84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</row>
    <row r="768" spans="1:30" ht="12.75" customHeight="1">
      <c r="A768" s="47"/>
      <c r="B768" s="47"/>
      <c r="C768" s="47"/>
      <c r="D768" s="47"/>
      <c r="E768" s="47"/>
      <c r="F768" s="47"/>
      <c r="G768" s="47"/>
      <c r="H768" s="84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</row>
    <row r="769" spans="1:30" ht="12.75" customHeight="1">
      <c r="A769" s="47"/>
      <c r="B769" s="47"/>
      <c r="C769" s="47"/>
      <c r="D769" s="47"/>
      <c r="E769" s="47"/>
      <c r="F769" s="47"/>
      <c r="G769" s="47"/>
      <c r="H769" s="84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</row>
    <row r="770" spans="1:30" ht="12.75" customHeight="1">
      <c r="A770" s="47"/>
      <c r="B770" s="47"/>
      <c r="C770" s="47"/>
      <c r="D770" s="47"/>
      <c r="E770" s="47"/>
      <c r="F770" s="47"/>
      <c r="G770" s="47"/>
      <c r="H770" s="84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</row>
    <row r="771" spans="1:30" ht="12.75" customHeight="1">
      <c r="A771" s="47"/>
      <c r="B771" s="47"/>
      <c r="C771" s="47"/>
      <c r="D771" s="47"/>
      <c r="E771" s="47"/>
      <c r="F771" s="47"/>
      <c r="G771" s="47"/>
      <c r="H771" s="84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</row>
    <row r="772" spans="1:30" ht="12.75" customHeight="1">
      <c r="A772" s="47"/>
      <c r="B772" s="47"/>
      <c r="C772" s="47"/>
      <c r="D772" s="47"/>
      <c r="E772" s="47"/>
      <c r="F772" s="47"/>
      <c r="G772" s="47"/>
      <c r="H772" s="84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</row>
    <row r="773" spans="1:30" ht="12.75" customHeight="1">
      <c r="A773" s="47"/>
      <c r="B773" s="47"/>
      <c r="C773" s="47"/>
      <c r="D773" s="47"/>
      <c r="E773" s="47"/>
      <c r="F773" s="47"/>
      <c r="G773" s="47"/>
      <c r="H773" s="84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</row>
    <row r="774" spans="1:30" ht="12.75" customHeight="1">
      <c r="A774" s="47"/>
      <c r="B774" s="47"/>
      <c r="C774" s="47"/>
      <c r="D774" s="47"/>
      <c r="E774" s="47"/>
      <c r="F774" s="47"/>
      <c r="G774" s="47"/>
      <c r="H774" s="84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</row>
    <row r="775" spans="1:30" ht="12.75" customHeight="1">
      <c r="A775" s="47"/>
      <c r="B775" s="47"/>
      <c r="C775" s="47"/>
      <c r="D775" s="47"/>
      <c r="E775" s="47"/>
      <c r="F775" s="47"/>
      <c r="G775" s="47"/>
      <c r="H775" s="84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</row>
    <row r="776" spans="1:30" ht="12.75" customHeight="1">
      <c r="A776" s="47"/>
      <c r="B776" s="47"/>
      <c r="C776" s="47"/>
      <c r="D776" s="47"/>
      <c r="E776" s="47"/>
      <c r="F776" s="47"/>
      <c r="G776" s="47"/>
      <c r="H776" s="84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</row>
    <row r="777" spans="1:30" ht="12.75" customHeight="1">
      <c r="A777" s="47"/>
      <c r="B777" s="47"/>
      <c r="C777" s="47"/>
      <c r="D777" s="47"/>
      <c r="E777" s="47"/>
      <c r="F777" s="47"/>
      <c r="G777" s="47"/>
      <c r="H777" s="84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</row>
    <row r="778" spans="1:30" ht="12.75" customHeight="1">
      <c r="A778" s="47"/>
      <c r="B778" s="47"/>
      <c r="C778" s="47"/>
      <c r="D778" s="47"/>
      <c r="E778" s="47"/>
      <c r="F778" s="47"/>
      <c r="G778" s="47"/>
      <c r="H778" s="84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</row>
    <row r="779" spans="1:30" ht="12.75" customHeight="1">
      <c r="A779" s="47"/>
      <c r="B779" s="47"/>
      <c r="C779" s="47"/>
      <c r="D779" s="47"/>
      <c r="E779" s="47"/>
      <c r="F779" s="47"/>
      <c r="G779" s="47"/>
      <c r="H779" s="84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</row>
    <row r="780" spans="1:30" ht="12.75" customHeight="1">
      <c r="A780" s="47"/>
      <c r="B780" s="47"/>
      <c r="C780" s="47"/>
      <c r="D780" s="47"/>
      <c r="E780" s="47"/>
      <c r="F780" s="47"/>
      <c r="G780" s="47"/>
      <c r="H780" s="84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</row>
    <row r="781" spans="1:30" ht="12.75" customHeight="1">
      <c r="A781" s="47"/>
      <c r="B781" s="47"/>
      <c r="C781" s="47"/>
      <c r="D781" s="47"/>
      <c r="E781" s="47"/>
      <c r="F781" s="47"/>
      <c r="G781" s="47"/>
      <c r="H781" s="84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</row>
    <row r="782" spans="1:30" ht="12.75" customHeight="1">
      <c r="A782" s="47"/>
      <c r="B782" s="47"/>
      <c r="C782" s="47"/>
      <c r="D782" s="47"/>
      <c r="E782" s="47"/>
      <c r="F782" s="47"/>
      <c r="G782" s="47"/>
      <c r="H782" s="84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</row>
    <row r="783" spans="1:30" ht="12.75" customHeight="1">
      <c r="A783" s="47"/>
      <c r="B783" s="47"/>
      <c r="C783" s="47"/>
      <c r="D783" s="47"/>
      <c r="E783" s="47"/>
      <c r="F783" s="47"/>
      <c r="G783" s="47"/>
      <c r="H783" s="84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</row>
    <row r="784" spans="1:30" ht="12.75" customHeight="1">
      <c r="A784" s="47"/>
      <c r="B784" s="47"/>
      <c r="C784" s="47"/>
      <c r="D784" s="47"/>
      <c r="E784" s="47"/>
      <c r="F784" s="47"/>
      <c r="G784" s="47"/>
      <c r="H784" s="84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</row>
    <row r="785" spans="1:30" ht="12.75" customHeight="1">
      <c r="A785" s="47"/>
      <c r="B785" s="47"/>
      <c r="C785" s="47"/>
      <c r="D785" s="47"/>
      <c r="E785" s="47"/>
      <c r="F785" s="47"/>
      <c r="G785" s="47"/>
      <c r="H785" s="84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</row>
    <row r="786" spans="1:30" ht="12.75" customHeight="1">
      <c r="A786" s="47"/>
      <c r="B786" s="47"/>
      <c r="C786" s="47"/>
      <c r="D786" s="47"/>
      <c r="E786" s="47"/>
      <c r="F786" s="47"/>
      <c r="G786" s="47"/>
      <c r="H786" s="84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</row>
    <row r="787" spans="1:30" ht="12.75" customHeight="1">
      <c r="A787" s="47"/>
      <c r="B787" s="47"/>
      <c r="C787" s="47"/>
      <c r="D787" s="47"/>
      <c r="E787" s="47"/>
      <c r="F787" s="47"/>
      <c r="G787" s="47"/>
      <c r="H787" s="84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</row>
    <row r="788" spans="1:30" ht="12.75" customHeight="1">
      <c r="A788" s="47"/>
      <c r="B788" s="47"/>
      <c r="C788" s="47"/>
      <c r="D788" s="47"/>
      <c r="E788" s="47"/>
      <c r="F788" s="47"/>
      <c r="G788" s="47"/>
      <c r="H788" s="84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</row>
    <row r="789" spans="1:30" ht="12.75" customHeight="1">
      <c r="A789" s="47"/>
      <c r="B789" s="47"/>
      <c r="C789" s="47"/>
      <c r="D789" s="47"/>
      <c r="E789" s="47"/>
      <c r="F789" s="47"/>
      <c r="G789" s="47"/>
      <c r="H789" s="84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</row>
    <row r="790" spans="1:30" ht="12.75" customHeight="1">
      <c r="A790" s="47"/>
      <c r="B790" s="47"/>
      <c r="C790" s="47"/>
      <c r="D790" s="47"/>
      <c r="E790" s="47"/>
      <c r="F790" s="47"/>
      <c r="G790" s="47"/>
      <c r="H790" s="84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</row>
    <row r="791" spans="1:30" ht="12.75" customHeight="1">
      <c r="A791" s="47"/>
      <c r="B791" s="47"/>
      <c r="C791" s="47"/>
      <c r="D791" s="47"/>
      <c r="E791" s="47"/>
      <c r="F791" s="47"/>
      <c r="G791" s="47"/>
      <c r="H791" s="84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</row>
    <row r="792" spans="1:30" ht="12.75" customHeight="1">
      <c r="A792" s="47"/>
      <c r="B792" s="47"/>
      <c r="C792" s="47"/>
      <c r="D792" s="47"/>
      <c r="E792" s="47"/>
      <c r="F792" s="47"/>
      <c r="G792" s="47"/>
      <c r="H792" s="84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</row>
    <row r="793" spans="1:30" ht="12.75" customHeight="1">
      <c r="A793" s="47"/>
      <c r="B793" s="47"/>
      <c r="C793" s="47"/>
      <c r="D793" s="47"/>
      <c r="E793" s="47"/>
      <c r="F793" s="47"/>
      <c r="G793" s="47"/>
      <c r="H793" s="84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</row>
    <row r="794" spans="1:30" ht="12.75" customHeight="1">
      <c r="A794" s="47"/>
      <c r="B794" s="47"/>
      <c r="C794" s="47"/>
      <c r="D794" s="47"/>
      <c r="E794" s="47"/>
      <c r="F794" s="47"/>
      <c r="G794" s="47"/>
      <c r="H794" s="84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</row>
    <row r="795" spans="1:30" ht="12.75" customHeight="1">
      <c r="A795" s="47"/>
      <c r="B795" s="47"/>
      <c r="C795" s="47"/>
      <c r="D795" s="47"/>
      <c r="E795" s="47"/>
      <c r="F795" s="47"/>
      <c r="G795" s="47"/>
      <c r="H795" s="84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</row>
    <row r="796" spans="1:30" ht="12.75" customHeight="1">
      <c r="A796" s="47"/>
      <c r="B796" s="47"/>
      <c r="C796" s="47"/>
      <c r="D796" s="47"/>
      <c r="E796" s="47"/>
      <c r="F796" s="47"/>
      <c r="G796" s="47"/>
      <c r="H796" s="84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</row>
    <row r="797" spans="1:30" ht="12.75" customHeight="1">
      <c r="A797" s="47"/>
      <c r="B797" s="47"/>
      <c r="C797" s="47"/>
      <c r="D797" s="47"/>
      <c r="E797" s="47"/>
      <c r="F797" s="47"/>
      <c r="G797" s="47"/>
      <c r="H797" s="84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</row>
    <row r="798" spans="1:30" ht="12.75" customHeight="1">
      <c r="A798" s="47"/>
      <c r="B798" s="47"/>
      <c r="C798" s="47"/>
      <c r="D798" s="47"/>
      <c r="E798" s="47"/>
      <c r="F798" s="47"/>
      <c r="G798" s="47"/>
      <c r="H798" s="84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</row>
    <row r="799" spans="1:30" ht="12.75" customHeight="1">
      <c r="A799" s="47"/>
      <c r="B799" s="47"/>
      <c r="C799" s="47"/>
      <c r="D799" s="47"/>
      <c r="E799" s="47"/>
      <c r="F799" s="47"/>
      <c r="G799" s="47"/>
      <c r="H799" s="84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</row>
    <row r="800" spans="1:30" ht="12.75" customHeight="1">
      <c r="A800" s="47"/>
      <c r="B800" s="47"/>
      <c r="C800" s="47"/>
      <c r="D800" s="47"/>
      <c r="E800" s="47"/>
      <c r="F800" s="47"/>
      <c r="G800" s="47"/>
      <c r="H800" s="84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</row>
    <row r="801" spans="1:30" ht="12.75" customHeight="1">
      <c r="A801" s="47"/>
      <c r="B801" s="47"/>
      <c r="C801" s="47"/>
      <c r="D801" s="47"/>
      <c r="E801" s="47"/>
      <c r="F801" s="47"/>
      <c r="G801" s="47"/>
      <c r="H801" s="84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</row>
    <row r="802" spans="1:30" ht="12.75" customHeight="1">
      <c r="A802" s="47"/>
      <c r="B802" s="47"/>
      <c r="C802" s="47"/>
      <c r="D802" s="47"/>
      <c r="E802" s="47"/>
      <c r="F802" s="47"/>
      <c r="G802" s="47"/>
      <c r="H802" s="84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</row>
    <row r="803" spans="1:30" ht="12.75" customHeight="1">
      <c r="A803" s="47"/>
      <c r="B803" s="47"/>
      <c r="C803" s="47"/>
      <c r="D803" s="47"/>
      <c r="E803" s="47"/>
      <c r="F803" s="47"/>
      <c r="G803" s="47"/>
      <c r="H803" s="84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</row>
    <row r="804" spans="1:30" ht="12.75" customHeight="1">
      <c r="A804" s="47"/>
      <c r="B804" s="47"/>
      <c r="C804" s="47"/>
      <c r="D804" s="47"/>
      <c r="E804" s="47"/>
      <c r="F804" s="47"/>
      <c r="G804" s="47"/>
      <c r="H804" s="84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</row>
    <row r="805" spans="1:30" ht="12.75" customHeight="1">
      <c r="A805" s="47"/>
      <c r="B805" s="47"/>
      <c r="C805" s="47"/>
      <c r="D805" s="47"/>
      <c r="E805" s="47"/>
      <c r="F805" s="47"/>
      <c r="G805" s="47"/>
      <c r="H805" s="84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</row>
    <row r="806" spans="1:30" ht="12.75" customHeight="1">
      <c r="A806" s="47"/>
      <c r="B806" s="47"/>
      <c r="C806" s="47"/>
      <c r="D806" s="47"/>
      <c r="E806" s="47"/>
      <c r="F806" s="47"/>
      <c r="G806" s="47"/>
      <c r="H806" s="84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</row>
    <row r="807" spans="1:30" ht="12.75" customHeight="1">
      <c r="A807" s="47"/>
      <c r="B807" s="47"/>
      <c r="C807" s="47"/>
      <c r="D807" s="47"/>
      <c r="E807" s="47"/>
      <c r="F807" s="47"/>
      <c r="G807" s="47"/>
      <c r="H807" s="84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</row>
    <row r="808" spans="1:30" ht="12.75" customHeight="1">
      <c r="A808" s="47"/>
      <c r="B808" s="47"/>
      <c r="C808" s="47"/>
      <c r="D808" s="47"/>
      <c r="E808" s="47"/>
      <c r="F808" s="47"/>
      <c r="G808" s="47"/>
      <c r="H808" s="84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</row>
    <row r="809" spans="1:30" ht="12.75" customHeight="1">
      <c r="A809" s="47"/>
      <c r="B809" s="47"/>
      <c r="C809" s="47"/>
      <c r="D809" s="47"/>
      <c r="E809" s="47"/>
      <c r="F809" s="47"/>
      <c r="G809" s="47"/>
      <c r="H809" s="84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</row>
    <row r="810" spans="1:30" ht="12.75" customHeight="1">
      <c r="A810" s="47"/>
      <c r="B810" s="47"/>
      <c r="C810" s="47"/>
      <c r="D810" s="47"/>
      <c r="E810" s="47"/>
      <c r="F810" s="47"/>
      <c r="G810" s="47"/>
      <c r="H810" s="84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</row>
    <row r="811" spans="1:30" ht="12.75" customHeight="1">
      <c r="A811" s="47"/>
      <c r="B811" s="47"/>
      <c r="C811" s="47"/>
      <c r="D811" s="47"/>
      <c r="E811" s="47"/>
      <c r="F811" s="47"/>
      <c r="G811" s="47"/>
      <c r="H811" s="84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</row>
    <row r="812" spans="1:30" ht="12.75" customHeight="1">
      <c r="A812" s="47"/>
      <c r="B812" s="47"/>
      <c r="C812" s="47"/>
      <c r="D812" s="47"/>
      <c r="E812" s="47"/>
      <c r="F812" s="47"/>
      <c r="G812" s="47"/>
      <c r="H812" s="84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</row>
    <row r="813" spans="1:30" ht="12.75" customHeight="1">
      <c r="A813" s="47"/>
      <c r="B813" s="47"/>
      <c r="C813" s="47"/>
      <c r="D813" s="47"/>
      <c r="E813" s="47"/>
      <c r="F813" s="47"/>
      <c r="G813" s="47"/>
      <c r="H813" s="84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</row>
    <row r="814" spans="1:30" ht="12.75" customHeight="1">
      <c r="A814" s="47"/>
      <c r="B814" s="47"/>
      <c r="C814" s="47"/>
      <c r="D814" s="47"/>
      <c r="E814" s="47"/>
      <c r="F814" s="47"/>
      <c r="G814" s="47"/>
      <c r="H814" s="84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</row>
    <row r="815" spans="1:30" ht="12.75" customHeight="1">
      <c r="A815" s="47"/>
      <c r="B815" s="47"/>
      <c r="C815" s="47"/>
      <c r="D815" s="47"/>
      <c r="E815" s="47"/>
      <c r="F815" s="47"/>
      <c r="G815" s="47"/>
      <c r="H815" s="84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</row>
    <row r="816" spans="1:30" ht="12.75" customHeight="1">
      <c r="A816" s="47"/>
      <c r="B816" s="47"/>
      <c r="C816" s="47"/>
      <c r="D816" s="47"/>
      <c r="E816" s="47"/>
      <c r="F816" s="47"/>
      <c r="G816" s="47"/>
      <c r="H816" s="84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</row>
    <row r="817" spans="1:30" ht="12.75" customHeight="1">
      <c r="A817" s="47"/>
      <c r="B817" s="47"/>
      <c r="C817" s="47"/>
      <c r="D817" s="47"/>
      <c r="E817" s="47"/>
      <c r="F817" s="47"/>
      <c r="G817" s="47"/>
      <c r="H817" s="84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</row>
    <row r="818" spans="1:30" ht="12.75" customHeight="1">
      <c r="A818" s="47"/>
      <c r="B818" s="47"/>
      <c r="C818" s="47"/>
      <c r="D818" s="47"/>
      <c r="E818" s="47"/>
      <c r="F818" s="47"/>
      <c r="G818" s="47"/>
      <c r="H818" s="84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</row>
    <row r="819" spans="1:30" ht="12.75" customHeight="1">
      <c r="A819" s="47"/>
      <c r="B819" s="47"/>
      <c r="C819" s="47"/>
      <c r="D819" s="47"/>
      <c r="E819" s="47"/>
      <c r="F819" s="47"/>
      <c r="G819" s="47"/>
      <c r="H819" s="84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</row>
    <row r="820" spans="1:30" ht="12.75" customHeight="1">
      <c r="A820" s="47"/>
      <c r="B820" s="47"/>
      <c r="C820" s="47"/>
      <c r="D820" s="47"/>
      <c r="E820" s="47"/>
      <c r="F820" s="47"/>
      <c r="G820" s="47"/>
      <c r="H820" s="84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</row>
    <row r="821" spans="1:30" ht="12.75" customHeight="1">
      <c r="A821" s="47"/>
      <c r="B821" s="47"/>
      <c r="C821" s="47"/>
      <c r="D821" s="47"/>
      <c r="E821" s="47"/>
      <c r="F821" s="47"/>
      <c r="G821" s="47"/>
      <c r="H821" s="84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</row>
    <row r="822" spans="1:30" ht="12.75" customHeight="1">
      <c r="A822" s="47"/>
      <c r="B822" s="47"/>
      <c r="C822" s="47"/>
      <c r="D822" s="47"/>
      <c r="E822" s="47"/>
      <c r="F822" s="47"/>
      <c r="G822" s="47"/>
      <c r="H822" s="84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</row>
    <row r="823" spans="1:30" ht="12.75" customHeight="1">
      <c r="A823" s="47"/>
      <c r="B823" s="47"/>
      <c r="C823" s="47"/>
      <c r="D823" s="47"/>
      <c r="E823" s="47"/>
      <c r="F823" s="47"/>
      <c r="G823" s="47"/>
      <c r="H823" s="84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</row>
    <row r="824" spans="1:30" ht="12.75" customHeight="1">
      <c r="A824" s="47"/>
      <c r="B824" s="47"/>
      <c r="C824" s="47"/>
      <c r="D824" s="47"/>
      <c r="E824" s="47"/>
      <c r="F824" s="47"/>
      <c r="G824" s="47"/>
      <c r="H824" s="84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</row>
    <row r="825" spans="1:30" ht="12.75" customHeight="1">
      <c r="A825" s="47"/>
      <c r="B825" s="47"/>
      <c r="C825" s="47"/>
      <c r="D825" s="47"/>
      <c r="E825" s="47"/>
      <c r="F825" s="47"/>
      <c r="G825" s="47"/>
      <c r="H825" s="84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</row>
    <row r="826" spans="1:30" ht="12.75" customHeight="1">
      <c r="A826" s="47"/>
      <c r="B826" s="47"/>
      <c r="C826" s="47"/>
      <c r="D826" s="47"/>
      <c r="E826" s="47"/>
      <c r="F826" s="47"/>
      <c r="G826" s="47"/>
      <c r="H826" s="84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</row>
    <row r="827" spans="1:30" ht="12.75" customHeight="1">
      <c r="A827" s="47"/>
      <c r="B827" s="47"/>
      <c r="C827" s="47"/>
      <c r="D827" s="47"/>
      <c r="E827" s="47"/>
      <c r="F827" s="47"/>
      <c r="G827" s="47"/>
      <c r="H827" s="84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</row>
    <row r="828" spans="1:30" ht="12.75" customHeight="1">
      <c r="A828" s="47"/>
      <c r="B828" s="47"/>
      <c r="C828" s="47"/>
      <c r="D828" s="47"/>
      <c r="E828" s="47"/>
      <c r="F828" s="47"/>
      <c r="G828" s="47"/>
      <c r="H828" s="84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</row>
    <row r="829" spans="1:30" ht="12.75" customHeight="1">
      <c r="A829" s="47"/>
      <c r="B829" s="47"/>
      <c r="C829" s="47"/>
      <c r="D829" s="47"/>
      <c r="E829" s="47"/>
      <c r="F829" s="47"/>
      <c r="G829" s="47"/>
      <c r="H829" s="84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</row>
    <row r="830" spans="1:30" ht="12.75" customHeight="1">
      <c r="A830" s="47"/>
      <c r="B830" s="47"/>
      <c r="C830" s="47"/>
      <c r="D830" s="47"/>
      <c r="E830" s="47"/>
      <c r="F830" s="47"/>
      <c r="G830" s="47"/>
      <c r="H830" s="84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</row>
    <row r="831" spans="1:30" ht="12.75" customHeight="1">
      <c r="A831" s="47"/>
      <c r="B831" s="47"/>
      <c r="C831" s="47"/>
      <c r="D831" s="47"/>
      <c r="E831" s="47"/>
      <c r="F831" s="47"/>
      <c r="G831" s="47"/>
      <c r="H831" s="84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</row>
    <row r="832" spans="1:30" ht="12.75" customHeight="1">
      <c r="A832" s="47"/>
      <c r="B832" s="47"/>
      <c r="C832" s="47"/>
      <c r="D832" s="47"/>
      <c r="E832" s="47"/>
      <c r="F832" s="47"/>
      <c r="G832" s="47"/>
      <c r="H832" s="84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</row>
    <row r="833" spans="1:30" ht="12.75" customHeight="1">
      <c r="A833" s="47"/>
      <c r="B833" s="47"/>
      <c r="C833" s="47"/>
      <c r="D833" s="47"/>
      <c r="E833" s="47"/>
      <c r="F833" s="47"/>
      <c r="G833" s="47"/>
      <c r="H833" s="84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</row>
    <row r="834" spans="1:30" ht="12.75" customHeight="1">
      <c r="A834" s="47"/>
      <c r="B834" s="47"/>
      <c r="C834" s="47"/>
      <c r="D834" s="47"/>
      <c r="E834" s="47"/>
      <c r="F834" s="47"/>
      <c r="G834" s="47"/>
      <c r="H834" s="84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</row>
    <row r="835" spans="1:30" ht="12.75" customHeight="1">
      <c r="A835" s="47"/>
      <c r="B835" s="47"/>
      <c r="C835" s="47"/>
      <c r="D835" s="47"/>
      <c r="E835" s="47"/>
      <c r="F835" s="47"/>
      <c r="G835" s="47"/>
      <c r="H835" s="84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</row>
    <row r="836" spans="1:30" ht="12.75" customHeight="1">
      <c r="A836" s="47"/>
      <c r="B836" s="47"/>
      <c r="C836" s="47"/>
      <c r="D836" s="47"/>
      <c r="E836" s="47"/>
      <c r="F836" s="47"/>
      <c r="G836" s="47"/>
      <c r="H836" s="84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</row>
    <row r="837" spans="1:30" ht="12.75" customHeight="1">
      <c r="A837" s="47"/>
      <c r="B837" s="47"/>
      <c r="C837" s="47"/>
      <c r="D837" s="47"/>
      <c r="E837" s="47"/>
      <c r="F837" s="47"/>
      <c r="G837" s="47"/>
      <c r="H837" s="84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</row>
    <row r="838" spans="1:30" ht="12.75" customHeight="1">
      <c r="A838" s="47"/>
      <c r="B838" s="47"/>
      <c r="C838" s="47"/>
      <c r="D838" s="47"/>
      <c r="E838" s="47"/>
      <c r="F838" s="47"/>
      <c r="G838" s="47"/>
      <c r="H838" s="84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</row>
    <row r="839" spans="1:30" ht="12.75" customHeight="1">
      <c r="A839" s="47"/>
      <c r="B839" s="47"/>
      <c r="C839" s="47"/>
      <c r="D839" s="47"/>
      <c r="E839" s="47"/>
      <c r="F839" s="47"/>
      <c r="G839" s="47"/>
      <c r="H839" s="84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</row>
    <row r="840" spans="1:30" ht="12.75" customHeight="1">
      <c r="A840" s="47"/>
      <c r="B840" s="47"/>
      <c r="C840" s="47"/>
      <c r="D840" s="47"/>
      <c r="E840" s="47"/>
      <c r="F840" s="47"/>
      <c r="G840" s="47"/>
      <c r="H840" s="84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</row>
    <row r="841" spans="1:30" ht="12.75" customHeight="1">
      <c r="A841" s="47"/>
      <c r="B841" s="47"/>
      <c r="C841" s="47"/>
      <c r="D841" s="47"/>
      <c r="E841" s="47"/>
      <c r="F841" s="47"/>
      <c r="G841" s="47"/>
      <c r="H841" s="84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</row>
    <row r="842" spans="1:30" ht="12.75" customHeight="1">
      <c r="A842" s="47"/>
      <c r="B842" s="47"/>
      <c r="C842" s="47"/>
      <c r="D842" s="47"/>
      <c r="E842" s="47"/>
      <c r="F842" s="47"/>
      <c r="G842" s="47"/>
      <c r="H842" s="84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</row>
    <row r="843" spans="1:30" ht="12.75" customHeight="1">
      <c r="A843" s="47"/>
      <c r="B843" s="47"/>
      <c r="C843" s="47"/>
      <c r="D843" s="47"/>
      <c r="E843" s="47"/>
      <c r="F843" s="47"/>
      <c r="G843" s="47"/>
      <c r="H843" s="84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</row>
    <row r="844" spans="1:30" ht="12.75" customHeight="1">
      <c r="A844" s="47"/>
      <c r="B844" s="47"/>
      <c r="C844" s="47"/>
      <c r="D844" s="47"/>
      <c r="E844" s="47"/>
      <c r="F844" s="47"/>
      <c r="G844" s="47"/>
      <c r="H844" s="84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</row>
    <row r="845" spans="1:30" ht="12.75" customHeight="1">
      <c r="A845" s="47"/>
      <c r="B845" s="47"/>
      <c r="C845" s="47"/>
      <c r="D845" s="47"/>
      <c r="E845" s="47"/>
      <c r="F845" s="47"/>
      <c r="G845" s="47"/>
      <c r="H845" s="84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</row>
    <row r="846" spans="1:30" ht="12.75" customHeight="1">
      <c r="A846" s="47"/>
      <c r="B846" s="47"/>
      <c r="C846" s="47"/>
      <c r="D846" s="47"/>
      <c r="E846" s="47"/>
      <c r="F846" s="47"/>
      <c r="G846" s="47"/>
      <c r="H846" s="84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</row>
    <row r="847" spans="1:30" ht="12.75" customHeight="1">
      <c r="A847" s="47"/>
      <c r="B847" s="47"/>
      <c r="C847" s="47"/>
      <c r="D847" s="47"/>
      <c r="E847" s="47"/>
      <c r="F847" s="47"/>
      <c r="G847" s="47"/>
      <c r="H847" s="84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</row>
    <row r="848" spans="1:30" ht="12.75" customHeight="1">
      <c r="A848" s="47"/>
      <c r="B848" s="47"/>
      <c r="C848" s="47"/>
      <c r="D848" s="47"/>
      <c r="E848" s="47"/>
      <c r="F848" s="47"/>
      <c r="G848" s="47"/>
      <c r="H848" s="84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</row>
    <row r="849" spans="1:30" ht="12.75" customHeight="1">
      <c r="A849" s="47"/>
      <c r="B849" s="47"/>
      <c r="C849" s="47"/>
      <c r="D849" s="47"/>
      <c r="E849" s="47"/>
      <c r="F849" s="47"/>
      <c r="G849" s="47"/>
      <c r="H849" s="84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</row>
    <row r="850" spans="1:30" ht="12.75" customHeight="1">
      <c r="A850" s="47"/>
      <c r="B850" s="47"/>
      <c r="C850" s="47"/>
      <c r="D850" s="47"/>
      <c r="E850" s="47"/>
      <c r="F850" s="47"/>
      <c r="G850" s="47"/>
      <c r="H850" s="84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</row>
    <row r="851" spans="1:30" ht="12.75" customHeight="1">
      <c r="A851" s="47"/>
      <c r="B851" s="47"/>
      <c r="C851" s="47"/>
      <c r="D851" s="47"/>
      <c r="E851" s="47"/>
      <c r="F851" s="47"/>
      <c r="G851" s="47"/>
      <c r="H851" s="84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</row>
    <row r="852" spans="1:30" ht="12.75" customHeight="1">
      <c r="A852" s="47"/>
      <c r="B852" s="47"/>
      <c r="C852" s="47"/>
      <c r="D852" s="47"/>
      <c r="E852" s="47"/>
      <c r="F852" s="47"/>
      <c r="G852" s="47"/>
      <c r="H852" s="84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</row>
    <row r="853" spans="1:30" ht="12.75" customHeight="1">
      <c r="A853" s="47"/>
      <c r="B853" s="47"/>
      <c r="C853" s="47"/>
      <c r="D853" s="47"/>
      <c r="E853" s="47"/>
      <c r="F853" s="47"/>
      <c r="G853" s="47"/>
      <c r="H853" s="84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</row>
    <row r="854" spans="1:30" ht="12.75" customHeight="1">
      <c r="A854" s="47"/>
      <c r="B854" s="47"/>
      <c r="C854" s="47"/>
      <c r="D854" s="47"/>
      <c r="E854" s="47"/>
      <c r="F854" s="47"/>
      <c r="G854" s="47"/>
      <c r="H854" s="84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</row>
    <row r="855" spans="1:30" ht="12.75" customHeight="1">
      <c r="A855" s="47"/>
      <c r="B855" s="47"/>
      <c r="C855" s="47"/>
      <c r="D855" s="47"/>
      <c r="E855" s="47"/>
      <c r="F855" s="47"/>
      <c r="G855" s="47"/>
      <c r="H855" s="84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</row>
    <row r="856" spans="1:30" ht="12.75" customHeight="1">
      <c r="A856" s="47"/>
      <c r="B856" s="47"/>
      <c r="C856" s="47"/>
      <c r="D856" s="47"/>
      <c r="E856" s="47"/>
      <c r="F856" s="47"/>
      <c r="G856" s="47"/>
      <c r="H856" s="84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</row>
    <row r="857" spans="1:30" ht="12.75" customHeight="1">
      <c r="A857" s="47"/>
      <c r="B857" s="47"/>
      <c r="C857" s="47"/>
      <c r="D857" s="47"/>
      <c r="E857" s="47"/>
      <c r="F857" s="47"/>
      <c r="G857" s="47"/>
      <c r="H857" s="84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</row>
    <row r="858" spans="1:30" ht="12.75" customHeight="1">
      <c r="A858" s="47"/>
      <c r="B858" s="47"/>
      <c r="C858" s="47"/>
      <c r="D858" s="47"/>
      <c r="E858" s="47"/>
      <c r="F858" s="47"/>
      <c r="G858" s="47"/>
      <c r="H858" s="84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</row>
    <row r="859" spans="1:30" ht="12.75" customHeight="1">
      <c r="A859" s="47"/>
      <c r="B859" s="47"/>
      <c r="C859" s="47"/>
      <c r="D859" s="47"/>
      <c r="E859" s="47"/>
      <c r="F859" s="47"/>
      <c r="G859" s="47"/>
      <c r="H859" s="84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</row>
    <row r="860" spans="1:30" ht="12.75" customHeight="1">
      <c r="A860" s="47"/>
      <c r="B860" s="47"/>
      <c r="C860" s="47"/>
      <c r="D860" s="47"/>
      <c r="E860" s="47"/>
      <c r="F860" s="47"/>
      <c r="G860" s="47"/>
      <c r="H860" s="84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</row>
    <row r="861" spans="1:30" ht="12.75" customHeight="1">
      <c r="A861" s="47"/>
      <c r="B861" s="47"/>
      <c r="C861" s="47"/>
      <c r="D861" s="47"/>
      <c r="E861" s="47"/>
      <c r="F861" s="47"/>
      <c r="G861" s="47"/>
      <c r="H861" s="84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</row>
    <row r="862" spans="1:30" ht="12.75" customHeight="1">
      <c r="A862" s="47"/>
      <c r="B862" s="47"/>
      <c r="C862" s="47"/>
      <c r="D862" s="47"/>
      <c r="E862" s="47"/>
      <c r="F862" s="47"/>
      <c r="G862" s="47"/>
      <c r="H862" s="84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</row>
    <row r="863" spans="1:30" ht="12.75" customHeight="1">
      <c r="A863" s="47"/>
      <c r="B863" s="47"/>
      <c r="C863" s="47"/>
      <c r="D863" s="47"/>
      <c r="E863" s="47"/>
      <c r="F863" s="47"/>
      <c r="G863" s="47"/>
      <c r="H863" s="84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</row>
    <row r="864" spans="1:30" ht="12.75" customHeight="1">
      <c r="A864" s="47"/>
      <c r="B864" s="47"/>
      <c r="C864" s="47"/>
      <c r="D864" s="47"/>
      <c r="E864" s="47"/>
      <c r="F864" s="47"/>
      <c r="G864" s="47"/>
      <c r="H864" s="84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</row>
    <row r="865" spans="1:30" ht="12.75" customHeight="1">
      <c r="A865" s="47"/>
      <c r="B865" s="47"/>
      <c r="C865" s="47"/>
      <c r="D865" s="47"/>
      <c r="E865" s="47"/>
      <c r="F865" s="47"/>
      <c r="G865" s="47"/>
      <c r="H865" s="84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</row>
    <row r="866" spans="1:30" ht="12.75" customHeight="1">
      <c r="A866" s="47"/>
      <c r="B866" s="47"/>
      <c r="C866" s="47"/>
      <c r="D866" s="47"/>
      <c r="E866" s="47"/>
      <c r="F866" s="47"/>
      <c r="G866" s="47"/>
      <c r="H866" s="84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</row>
    <row r="867" spans="1:30" ht="12.75" customHeight="1">
      <c r="A867" s="47"/>
      <c r="B867" s="47"/>
      <c r="C867" s="47"/>
      <c r="D867" s="47"/>
      <c r="E867" s="47"/>
      <c r="F867" s="47"/>
      <c r="G867" s="47"/>
      <c r="H867" s="84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</row>
    <row r="868" spans="1:30" ht="12.75" customHeight="1">
      <c r="A868" s="47"/>
      <c r="B868" s="47"/>
      <c r="C868" s="47"/>
      <c r="D868" s="47"/>
      <c r="E868" s="47"/>
      <c r="F868" s="47"/>
      <c r="G868" s="47"/>
      <c r="H868" s="84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</row>
    <row r="869" spans="1:30" ht="12.75" customHeight="1">
      <c r="A869" s="47"/>
      <c r="B869" s="47"/>
      <c r="C869" s="47"/>
      <c r="D869" s="47"/>
      <c r="E869" s="47"/>
      <c r="F869" s="47"/>
      <c r="G869" s="47"/>
      <c r="H869" s="84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</row>
    <row r="870" spans="1:30" ht="12.75" customHeight="1">
      <c r="A870" s="47"/>
      <c r="B870" s="47"/>
      <c r="C870" s="47"/>
      <c r="D870" s="47"/>
      <c r="E870" s="47"/>
      <c r="F870" s="47"/>
      <c r="G870" s="47"/>
      <c r="H870" s="84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</row>
    <row r="871" spans="1:30" ht="12.75" customHeight="1">
      <c r="A871" s="47"/>
      <c r="B871" s="47"/>
      <c r="C871" s="47"/>
      <c r="D871" s="47"/>
      <c r="E871" s="47"/>
      <c r="F871" s="47"/>
      <c r="G871" s="47"/>
      <c r="H871" s="84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</row>
    <row r="872" spans="1:30" ht="12.75" customHeight="1">
      <c r="A872" s="47"/>
      <c r="B872" s="47"/>
      <c r="C872" s="47"/>
      <c r="D872" s="47"/>
      <c r="E872" s="47"/>
      <c r="F872" s="47"/>
      <c r="G872" s="47"/>
      <c r="H872" s="84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</row>
    <row r="873" spans="1:30" ht="12.75" customHeight="1">
      <c r="A873" s="47"/>
      <c r="B873" s="47"/>
      <c r="C873" s="47"/>
      <c r="D873" s="47"/>
      <c r="E873" s="47"/>
      <c r="F873" s="47"/>
      <c r="G873" s="47"/>
      <c r="H873" s="84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</row>
    <row r="874" spans="1:30" ht="12.75" customHeight="1">
      <c r="A874" s="47"/>
      <c r="B874" s="47"/>
      <c r="C874" s="47"/>
      <c r="D874" s="47"/>
      <c r="E874" s="47"/>
      <c r="F874" s="47"/>
      <c r="G874" s="47"/>
      <c r="H874" s="84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</row>
    <row r="875" spans="1:30" ht="12.75" customHeight="1">
      <c r="A875" s="47"/>
      <c r="B875" s="47"/>
      <c r="C875" s="47"/>
      <c r="D875" s="47"/>
      <c r="E875" s="47"/>
      <c r="F875" s="47"/>
      <c r="G875" s="47"/>
      <c r="H875" s="84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</row>
    <row r="876" spans="1:30" ht="12.75" customHeight="1">
      <c r="A876" s="47"/>
      <c r="B876" s="47"/>
      <c r="C876" s="47"/>
      <c r="D876" s="47"/>
      <c r="E876" s="47"/>
      <c r="F876" s="47"/>
      <c r="G876" s="47"/>
      <c r="H876" s="84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</row>
    <row r="877" spans="1:30" ht="12.75" customHeight="1">
      <c r="A877" s="47"/>
      <c r="B877" s="47"/>
      <c r="C877" s="47"/>
      <c r="D877" s="47"/>
      <c r="E877" s="47"/>
      <c r="F877" s="47"/>
      <c r="G877" s="47"/>
      <c r="H877" s="84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</row>
    <row r="878" spans="1:30" ht="12.75" customHeight="1">
      <c r="A878" s="47"/>
      <c r="B878" s="47"/>
      <c r="C878" s="47"/>
      <c r="D878" s="47"/>
      <c r="E878" s="47"/>
      <c r="F878" s="47"/>
      <c r="G878" s="47"/>
      <c r="H878" s="84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</row>
    <row r="879" spans="1:30" ht="12.75" customHeight="1">
      <c r="A879" s="47"/>
      <c r="B879" s="47"/>
      <c r="C879" s="47"/>
      <c r="D879" s="47"/>
      <c r="E879" s="47"/>
      <c r="F879" s="47"/>
      <c r="G879" s="47"/>
      <c r="H879" s="84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</row>
    <row r="880" spans="1:30" ht="12.75" customHeight="1">
      <c r="A880" s="47"/>
      <c r="B880" s="47"/>
      <c r="C880" s="47"/>
      <c r="D880" s="47"/>
      <c r="E880" s="47"/>
      <c r="F880" s="47"/>
      <c r="G880" s="47"/>
      <c r="H880" s="84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</row>
    <row r="881" spans="1:30" ht="12.75" customHeight="1">
      <c r="A881" s="47"/>
      <c r="B881" s="47"/>
      <c r="C881" s="47"/>
      <c r="D881" s="47"/>
      <c r="E881" s="47"/>
      <c r="F881" s="47"/>
      <c r="G881" s="47"/>
      <c r="H881" s="84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</row>
    <row r="882" spans="1:30" ht="12.75" customHeight="1">
      <c r="A882" s="47"/>
      <c r="B882" s="47"/>
      <c r="C882" s="47"/>
      <c r="D882" s="47"/>
      <c r="E882" s="47"/>
      <c r="F882" s="47"/>
      <c r="G882" s="47"/>
      <c r="H882" s="84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</row>
    <row r="883" spans="1:30" ht="12.75" customHeight="1">
      <c r="A883" s="47"/>
      <c r="B883" s="47"/>
      <c r="C883" s="47"/>
      <c r="D883" s="47"/>
      <c r="E883" s="47"/>
      <c r="F883" s="47"/>
      <c r="G883" s="47"/>
      <c r="H883" s="84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</row>
    <row r="884" spans="1:30" ht="12.75" customHeight="1">
      <c r="A884" s="47"/>
      <c r="B884" s="47"/>
      <c r="C884" s="47"/>
      <c r="D884" s="47"/>
      <c r="E884" s="47"/>
      <c r="F884" s="47"/>
      <c r="G884" s="47"/>
      <c r="H884" s="84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</row>
    <row r="885" spans="1:30" ht="12.75" customHeight="1">
      <c r="A885" s="47"/>
      <c r="B885" s="47"/>
      <c r="C885" s="47"/>
      <c r="D885" s="47"/>
      <c r="E885" s="47"/>
      <c r="F885" s="47"/>
      <c r="G885" s="47"/>
      <c r="H885" s="84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</row>
    <row r="886" spans="1:30" ht="12.75" customHeight="1">
      <c r="A886" s="47"/>
      <c r="B886" s="47"/>
      <c r="C886" s="47"/>
      <c r="D886" s="47"/>
      <c r="E886" s="47"/>
      <c r="F886" s="47"/>
      <c r="G886" s="47"/>
      <c r="H886" s="84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</row>
    <row r="887" spans="1:30" ht="12.75" customHeight="1">
      <c r="A887" s="47"/>
      <c r="B887" s="47"/>
      <c r="C887" s="47"/>
      <c r="D887" s="47"/>
      <c r="E887" s="47"/>
      <c r="F887" s="47"/>
      <c r="G887" s="47"/>
      <c r="H887" s="84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</row>
    <row r="888" spans="1:30" ht="12.75" customHeight="1">
      <c r="A888" s="47"/>
      <c r="B888" s="47"/>
      <c r="C888" s="47"/>
      <c r="D888" s="47"/>
      <c r="E888" s="47"/>
      <c r="F888" s="47"/>
      <c r="G888" s="47"/>
      <c r="H888" s="84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</row>
    <row r="889" spans="1:30" ht="12.75" customHeight="1">
      <c r="A889" s="47"/>
      <c r="B889" s="47"/>
      <c r="C889" s="47"/>
      <c r="D889" s="47"/>
      <c r="E889" s="47"/>
      <c r="F889" s="47"/>
      <c r="G889" s="47"/>
      <c r="H889" s="84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</row>
    <row r="890" spans="1:30" ht="12.75" customHeight="1">
      <c r="A890" s="47"/>
      <c r="B890" s="47"/>
      <c r="C890" s="47"/>
      <c r="D890" s="47"/>
      <c r="E890" s="47"/>
      <c r="F890" s="47"/>
      <c r="G890" s="47"/>
      <c r="H890" s="84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</row>
    <row r="891" spans="1:30" ht="12.75" customHeight="1">
      <c r="A891" s="47"/>
      <c r="B891" s="47"/>
      <c r="C891" s="47"/>
      <c r="D891" s="47"/>
      <c r="E891" s="47"/>
      <c r="F891" s="47"/>
      <c r="G891" s="47"/>
      <c r="H891" s="84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</row>
    <row r="892" spans="1:30" ht="12.75" customHeight="1">
      <c r="A892" s="47"/>
      <c r="B892" s="47"/>
      <c r="C892" s="47"/>
      <c r="D892" s="47"/>
      <c r="E892" s="47"/>
      <c r="F892" s="47"/>
      <c r="G892" s="47"/>
      <c r="H892" s="84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</row>
    <row r="893" spans="1:30" ht="12.75" customHeight="1">
      <c r="A893" s="47"/>
      <c r="B893" s="47"/>
      <c r="C893" s="47"/>
      <c r="D893" s="47"/>
      <c r="E893" s="47"/>
      <c r="F893" s="47"/>
      <c r="G893" s="47"/>
      <c r="H893" s="84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</row>
    <row r="894" spans="1:30" ht="12.75" customHeight="1">
      <c r="A894" s="47"/>
      <c r="B894" s="47"/>
      <c r="C894" s="47"/>
      <c r="D894" s="47"/>
      <c r="E894" s="47"/>
      <c r="F894" s="47"/>
      <c r="G894" s="47"/>
      <c r="H894" s="84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</row>
    <row r="895" spans="1:30" ht="12.75" customHeight="1">
      <c r="A895" s="47"/>
      <c r="B895" s="47"/>
      <c r="C895" s="47"/>
      <c r="D895" s="47"/>
      <c r="E895" s="47"/>
      <c r="F895" s="47"/>
      <c r="G895" s="47"/>
      <c r="H895" s="84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</row>
    <row r="896" spans="1:30" ht="12.75" customHeight="1">
      <c r="A896" s="47"/>
      <c r="B896" s="47"/>
      <c r="C896" s="47"/>
      <c r="D896" s="47"/>
      <c r="E896" s="47"/>
      <c r="F896" s="47"/>
      <c r="G896" s="47"/>
      <c r="H896" s="84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</row>
    <row r="897" spans="1:30" ht="12.75" customHeight="1">
      <c r="A897" s="47"/>
      <c r="B897" s="47"/>
      <c r="C897" s="47"/>
      <c r="D897" s="47"/>
      <c r="E897" s="47"/>
      <c r="F897" s="47"/>
      <c r="G897" s="47"/>
      <c r="H897" s="84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</row>
    <row r="898" spans="1:30" ht="12.75" customHeight="1">
      <c r="A898" s="47"/>
      <c r="B898" s="47"/>
      <c r="C898" s="47"/>
      <c r="D898" s="47"/>
      <c r="E898" s="47"/>
      <c r="F898" s="47"/>
      <c r="G898" s="47"/>
      <c r="H898" s="84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</row>
    <row r="899" spans="1:30" ht="12.75" customHeight="1">
      <c r="A899" s="47"/>
      <c r="B899" s="47"/>
      <c r="C899" s="47"/>
      <c r="D899" s="47"/>
      <c r="E899" s="47"/>
      <c r="F899" s="47"/>
      <c r="G899" s="47"/>
      <c r="H899" s="84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</row>
    <row r="900" spans="1:30" ht="12.75" customHeight="1">
      <c r="A900" s="47"/>
      <c r="B900" s="47"/>
      <c r="C900" s="47"/>
      <c r="D900" s="47"/>
      <c r="E900" s="47"/>
      <c r="F900" s="47"/>
      <c r="G900" s="47"/>
      <c r="H900" s="84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</row>
    <row r="901" spans="1:30" ht="12.75" customHeight="1">
      <c r="A901" s="47"/>
      <c r="B901" s="47"/>
      <c r="C901" s="47"/>
      <c r="D901" s="47"/>
      <c r="E901" s="47"/>
      <c r="F901" s="47"/>
      <c r="G901" s="47"/>
      <c r="H901" s="84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</row>
    <row r="902" spans="1:30" ht="12.75" customHeight="1">
      <c r="A902" s="47"/>
      <c r="B902" s="47"/>
      <c r="C902" s="47"/>
      <c r="D902" s="47"/>
      <c r="E902" s="47"/>
      <c r="F902" s="47"/>
      <c r="G902" s="47"/>
      <c r="H902" s="84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</row>
    <row r="903" spans="1:30" ht="12.75" customHeight="1">
      <c r="A903" s="47"/>
      <c r="B903" s="47"/>
      <c r="C903" s="47"/>
      <c r="D903" s="47"/>
      <c r="E903" s="47"/>
      <c r="F903" s="47"/>
      <c r="G903" s="47"/>
      <c r="H903" s="84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</row>
    <row r="904" spans="1:30" ht="12.75" customHeight="1">
      <c r="A904" s="47"/>
      <c r="B904" s="47"/>
      <c r="C904" s="47"/>
      <c r="D904" s="47"/>
      <c r="E904" s="47"/>
      <c r="F904" s="47"/>
      <c r="G904" s="47"/>
      <c r="H904" s="84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</row>
    <row r="905" spans="1:30" ht="12.75" customHeight="1">
      <c r="A905" s="47"/>
      <c r="B905" s="47"/>
      <c r="C905" s="47"/>
      <c r="D905" s="47"/>
      <c r="E905" s="47"/>
      <c r="F905" s="47"/>
      <c r="G905" s="47"/>
      <c r="H905" s="84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</row>
    <row r="906" spans="1:30" ht="12.75" customHeight="1">
      <c r="A906" s="47"/>
      <c r="B906" s="47"/>
      <c r="C906" s="47"/>
      <c r="D906" s="47"/>
      <c r="E906" s="47"/>
      <c r="F906" s="47"/>
      <c r="G906" s="47"/>
      <c r="H906" s="84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</row>
    <row r="907" spans="1:30" ht="12.75" customHeight="1">
      <c r="A907" s="47"/>
      <c r="B907" s="47"/>
      <c r="C907" s="47"/>
      <c r="D907" s="47"/>
      <c r="E907" s="47"/>
      <c r="F907" s="47"/>
      <c r="G907" s="47"/>
      <c r="H907" s="84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</row>
    <row r="908" spans="1:30" ht="12.75" customHeight="1">
      <c r="A908" s="47"/>
      <c r="B908" s="47"/>
      <c r="C908" s="47"/>
      <c r="D908" s="47"/>
      <c r="E908" s="47"/>
      <c r="F908" s="47"/>
      <c r="G908" s="47"/>
      <c r="H908" s="84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</row>
    <row r="909" spans="1:30" ht="12.75" customHeight="1">
      <c r="A909" s="47"/>
      <c r="B909" s="47"/>
      <c r="C909" s="47"/>
      <c r="D909" s="47"/>
      <c r="E909" s="47"/>
      <c r="F909" s="47"/>
      <c r="G909" s="47"/>
      <c r="H909" s="84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</row>
    <row r="910" spans="1:30" ht="12.75" customHeight="1">
      <c r="A910" s="47"/>
      <c r="B910" s="47"/>
      <c r="C910" s="47"/>
      <c r="D910" s="47"/>
      <c r="E910" s="47"/>
      <c r="F910" s="47"/>
      <c r="G910" s="47"/>
      <c r="H910" s="84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</row>
    <row r="911" spans="1:30" ht="12.75" customHeight="1">
      <c r="A911" s="47"/>
      <c r="B911" s="47"/>
      <c r="C911" s="47"/>
      <c r="D911" s="47"/>
      <c r="E911" s="47"/>
      <c r="F911" s="47"/>
      <c r="G911" s="47"/>
      <c r="H911" s="84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</row>
    <row r="912" spans="1:30" ht="12.75" customHeight="1">
      <c r="A912" s="47"/>
      <c r="B912" s="47"/>
      <c r="C912" s="47"/>
      <c r="D912" s="47"/>
      <c r="E912" s="47"/>
      <c r="F912" s="47"/>
      <c r="G912" s="47"/>
      <c r="H912" s="84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</row>
    <row r="913" spans="1:30" ht="12.75" customHeight="1">
      <c r="A913" s="47"/>
      <c r="B913" s="47"/>
      <c r="C913" s="47"/>
      <c r="D913" s="47"/>
      <c r="E913" s="47"/>
      <c r="F913" s="47"/>
      <c r="G913" s="47"/>
      <c r="H913" s="84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</row>
    <row r="914" spans="1:30" ht="12.75" customHeight="1">
      <c r="A914" s="47"/>
      <c r="B914" s="47"/>
      <c r="C914" s="47"/>
      <c r="D914" s="47"/>
      <c r="E914" s="47"/>
      <c r="F914" s="47"/>
      <c r="G914" s="47"/>
      <c r="H914" s="84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</row>
    <row r="915" spans="1:30" ht="12.75" customHeight="1">
      <c r="A915" s="47"/>
      <c r="B915" s="47"/>
      <c r="C915" s="47"/>
      <c r="D915" s="47"/>
      <c r="E915" s="47"/>
      <c r="F915" s="47"/>
      <c r="G915" s="47"/>
      <c r="H915" s="84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</row>
    <row r="916" spans="1:30" ht="12.75" customHeight="1">
      <c r="A916" s="47"/>
      <c r="B916" s="47"/>
      <c r="C916" s="47"/>
      <c r="D916" s="47"/>
      <c r="E916" s="47"/>
      <c r="F916" s="47"/>
      <c r="G916" s="47"/>
      <c r="H916" s="84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</row>
    <row r="917" spans="1:30" ht="12.75" customHeight="1">
      <c r="A917" s="47"/>
      <c r="B917" s="47"/>
      <c r="C917" s="47"/>
      <c r="D917" s="47"/>
      <c r="E917" s="47"/>
      <c r="F917" s="47"/>
      <c r="G917" s="47"/>
      <c r="H917" s="84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</row>
    <row r="918" spans="1:30" ht="12.75" customHeight="1">
      <c r="A918" s="47"/>
      <c r="B918" s="47"/>
      <c r="C918" s="47"/>
      <c r="D918" s="47"/>
      <c r="E918" s="47"/>
      <c r="F918" s="47"/>
      <c r="G918" s="47"/>
      <c r="H918" s="84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</row>
    <row r="919" spans="1:30" ht="12.75" customHeight="1">
      <c r="A919" s="47"/>
      <c r="B919" s="47"/>
      <c r="C919" s="47"/>
      <c r="D919" s="47"/>
      <c r="E919" s="47"/>
      <c r="F919" s="47"/>
      <c r="G919" s="47"/>
      <c r="H919" s="84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</row>
    <row r="920" spans="1:30" ht="12.75" customHeight="1">
      <c r="A920" s="47"/>
      <c r="B920" s="47"/>
      <c r="C920" s="47"/>
      <c r="D920" s="47"/>
      <c r="E920" s="47"/>
      <c r="F920" s="47"/>
      <c r="G920" s="47"/>
      <c r="H920" s="84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</row>
    <row r="921" spans="1:30" ht="12.75" customHeight="1">
      <c r="A921" s="47"/>
      <c r="B921" s="47"/>
      <c r="C921" s="47"/>
      <c r="D921" s="47"/>
      <c r="E921" s="47"/>
      <c r="F921" s="47"/>
      <c r="G921" s="47"/>
      <c r="H921" s="84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</row>
    <row r="922" spans="1:30" ht="12.75" customHeight="1">
      <c r="A922" s="47"/>
      <c r="B922" s="47"/>
      <c r="C922" s="47"/>
      <c r="D922" s="47"/>
      <c r="E922" s="47"/>
      <c r="F922" s="47"/>
      <c r="G922" s="47"/>
      <c r="H922" s="84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</row>
    <row r="923" spans="1:30" ht="12.75" customHeight="1">
      <c r="A923" s="47"/>
      <c r="B923" s="47"/>
      <c r="C923" s="47"/>
      <c r="D923" s="47"/>
      <c r="E923" s="47"/>
      <c r="F923" s="47"/>
      <c r="G923" s="47"/>
      <c r="H923" s="84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</row>
    <row r="924" spans="1:30" ht="12.75" customHeight="1">
      <c r="A924" s="47"/>
      <c r="B924" s="47"/>
      <c r="C924" s="47"/>
      <c r="D924" s="47"/>
      <c r="E924" s="47"/>
      <c r="F924" s="47"/>
      <c r="G924" s="47"/>
      <c r="H924" s="84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</row>
    <row r="925" spans="1:30" ht="12.75" customHeight="1">
      <c r="A925" s="47"/>
      <c r="B925" s="47"/>
      <c r="C925" s="47"/>
      <c r="D925" s="47"/>
      <c r="E925" s="47"/>
      <c r="F925" s="47"/>
      <c r="G925" s="47"/>
      <c r="H925" s="84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</row>
    <row r="926" spans="1:30" ht="12.75" customHeight="1">
      <c r="A926" s="47"/>
      <c r="B926" s="47"/>
      <c r="C926" s="47"/>
      <c r="D926" s="47"/>
      <c r="E926" s="47"/>
      <c r="F926" s="47"/>
      <c r="G926" s="47"/>
      <c r="H926" s="84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</row>
    <row r="927" spans="1:30" ht="12.75" customHeight="1">
      <c r="A927" s="47"/>
      <c r="B927" s="47"/>
      <c r="C927" s="47"/>
      <c r="D927" s="47"/>
      <c r="E927" s="47"/>
      <c r="F927" s="47"/>
      <c r="G927" s="47"/>
      <c r="H927" s="84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</row>
    <row r="928" spans="1:30" ht="12.75" customHeight="1">
      <c r="A928" s="47"/>
      <c r="B928" s="47"/>
      <c r="C928" s="47"/>
      <c r="D928" s="47"/>
      <c r="E928" s="47"/>
      <c r="F928" s="47"/>
      <c r="G928" s="47"/>
      <c r="H928" s="84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</row>
    <row r="929" spans="1:30" ht="12.75" customHeight="1">
      <c r="A929" s="47"/>
      <c r="B929" s="47"/>
      <c r="C929" s="47"/>
      <c r="D929" s="47"/>
      <c r="E929" s="47"/>
      <c r="F929" s="47"/>
      <c r="G929" s="47"/>
      <c r="H929" s="84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</row>
    <row r="930" spans="1:30" ht="12.75" customHeight="1">
      <c r="A930" s="47"/>
      <c r="B930" s="47"/>
      <c r="C930" s="47"/>
      <c r="D930" s="47"/>
      <c r="E930" s="47"/>
      <c r="F930" s="47"/>
      <c r="G930" s="47"/>
      <c r="H930" s="84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</row>
    <row r="931" spans="1:30" ht="12.75" customHeight="1">
      <c r="A931" s="47"/>
      <c r="B931" s="47"/>
      <c r="C931" s="47"/>
      <c r="D931" s="47"/>
      <c r="E931" s="47"/>
      <c r="F931" s="47"/>
      <c r="G931" s="47"/>
      <c r="H931" s="84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</row>
    <row r="932" spans="1:30" ht="12.75" customHeight="1">
      <c r="A932" s="47"/>
      <c r="B932" s="47"/>
      <c r="C932" s="47"/>
      <c r="D932" s="47"/>
      <c r="E932" s="47"/>
      <c r="F932" s="47"/>
      <c r="G932" s="47"/>
      <c r="H932" s="84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</row>
    <row r="933" spans="1:30" ht="12.75" customHeight="1">
      <c r="A933" s="47"/>
      <c r="B933" s="47"/>
      <c r="C933" s="47"/>
      <c r="D933" s="47"/>
      <c r="E933" s="47"/>
      <c r="F933" s="47"/>
      <c r="G933" s="47"/>
      <c r="H933" s="84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</row>
    <row r="934" spans="1:30" ht="12.75" customHeight="1">
      <c r="A934" s="47"/>
      <c r="B934" s="47"/>
      <c r="C934" s="47"/>
      <c r="D934" s="47"/>
      <c r="E934" s="47"/>
      <c r="F934" s="47"/>
      <c r="G934" s="47"/>
      <c r="H934" s="84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</row>
    <row r="935" spans="1:30" ht="12.75" customHeight="1">
      <c r="A935" s="47"/>
      <c r="B935" s="47"/>
      <c r="C935" s="47"/>
      <c r="D935" s="47"/>
      <c r="E935" s="47"/>
      <c r="F935" s="47"/>
      <c r="G935" s="47"/>
      <c r="H935" s="84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</row>
    <row r="936" spans="1:30" ht="12.75" customHeight="1">
      <c r="A936" s="47"/>
      <c r="B936" s="47"/>
      <c r="C936" s="47"/>
      <c r="D936" s="47"/>
      <c r="E936" s="47"/>
      <c r="F936" s="47"/>
      <c r="G936" s="47"/>
      <c r="H936" s="84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</row>
    <row r="937" spans="1:30" ht="12.75" customHeight="1">
      <c r="A937" s="47"/>
      <c r="B937" s="47"/>
      <c r="C937" s="47"/>
      <c r="D937" s="47"/>
      <c r="E937" s="47"/>
      <c r="F937" s="47"/>
      <c r="G937" s="47"/>
      <c r="H937" s="84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</row>
    <row r="938" spans="1:30" ht="12.75" customHeight="1">
      <c r="A938" s="47"/>
      <c r="B938" s="47"/>
      <c r="C938" s="47"/>
      <c r="D938" s="47"/>
      <c r="E938" s="47"/>
      <c r="F938" s="47"/>
      <c r="G938" s="47"/>
      <c r="H938" s="84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</row>
    <row r="939" spans="1:30" ht="12.75" customHeight="1">
      <c r="A939" s="47"/>
      <c r="B939" s="47"/>
      <c r="C939" s="47"/>
      <c r="D939" s="47"/>
      <c r="E939" s="47"/>
      <c r="F939" s="47"/>
      <c r="G939" s="47"/>
      <c r="H939" s="84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</row>
    <row r="940" spans="1:30" ht="12.75" customHeight="1">
      <c r="A940" s="47"/>
      <c r="B940" s="47"/>
      <c r="C940" s="47"/>
      <c r="D940" s="47"/>
      <c r="E940" s="47"/>
      <c r="F940" s="47"/>
      <c r="G940" s="47"/>
      <c r="H940" s="84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</row>
    <row r="941" spans="1:30" ht="12.75" customHeight="1">
      <c r="A941" s="47"/>
      <c r="B941" s="47"/>
      <c r="C941" s="47"/>
      <c r="D941" s="47"/>
      <c r="E941" s="47"/>
      <c r="F941" s="47"/>
      <c r="G941" s="47"/>
      <c r="H941" s="84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</row>
    <row r="942" spans="1:30" ht="12.75" customHeight="1">
      <c r="A942" s="47"/>
      <c r="B942" s="47"/>
      <c r="C942" s="47"/>
      <c r="D942" s="47"/>
      <c r="E942" s="47"/>
      <c r="F942" s="47"/>
      <c r="G942" s="47"/>
      <c r="H942" s="84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</row>
    <row r="943" spans="1:30" ht="12.75" customHeight="1">
      <c r="A943" s="47"/>
      <c r="B943" s="47"/>
      <c r="C943" s="47"/>
      <c r="D943" s="47"/>
      <c r="E943" s="47"/>
      <c r="F943" s="47"/>
      <c r="G943" s="47"/>
      <c r="H943" s="84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</row>
    <row r="944" spans="1:30" ht="12.75" customHeight="1">
      <c r="A944" s="47"/>
      <c r="B944" s="47"/>
      <c r="C944" s="47"/>
      <c r="D944" s="47"/>
      <c r="E944" s="47"/>
      <c r="F944" s="47"/>
      <c r="G944" s="47"/>
      <c r="H944" s="84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</row>
    <row r="945" spans="1:30" ht="12.75" customHeight="1">
      <c r="A945" s="47"/>
      <c r="B945" s="47"/>
      <c r="C945" s="47"/>
      <c r="D945" s="47"/>
      <c r="E945" s="47"/>
      <c r="F945" s="47"/>
      <c r="G945" s="47"/>
      <c r="H945" s="84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</row>
    <row r="946" spans="1:30" ht="12.75" customHeight="1">
      <c r="A946" s="47"/>
      <c r="B946" s="47"/>
      <c r="C946" s="47"/>
      <c r="D946" s="47"/>
      <c r="E946" s="47"/>
      <c r="F946" s="47"/>
      <c r="G946" s="47"/>
      <c r="H946" s="84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</row>
    <row r="947" spans="1:30" ht="12.75" customHeight="1">
      <c r="A947" s="47"/>
      <c r="B947" s="47"/>
      <c r="C947" s="47"/>
      <c r="D947" s="47"/>
      <c r="E947" s="47"/>
      <c r="F947" s="47"/>
      <c r="G947" s="47"/>
      <c r="H947" s="84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</row>
    <row r="948" spans="1:30" ht="12.75" customHeight="1">
      <c r="A948" s="47"/>
      <c r="B948" s="47"/>
      <c r="C948" s="47"/>
      <c r="D948" s="47"/>
      <c r="E948" s="47"/>
      <c r="F948" s="47"/>
      <c r="G948" s="47"/>
      <c r="H948" s="84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</row>
    <row r="949" spans="1:30" ht="12.75" customHeight="1">
      <c r="A949" s="47"/>
      <c r="B949" s="47"/>
      <c r="C949" s="47"/>
      <c r="D949" s="47"/>
      <c r="E949" s="47"/>
      <c r="F949" s="47"/>
      <c r="G949" s="47"/>
      <c r="H949" s="84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</row>
    <row r="950" spans="1:30" ht="12.75" customHeight="1">
      <c r="A950" s="47"/>
      <c r="B950" s="47"/>
      <c r="C950" s="47"/>
      <c r="D950" s="47"/>
      <c r="E950" s="47"/>
      <c r="F950" s="47"/>
      <c r="G950" s="47"/>
      <c r="H950" s="84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</row>
    <row r="951" spans="1:30" ht="12.75" customHeight="1">
      <c r="A951" s="47"/>
      <c r="B951" s="47"/>
      <c r="C951" s="47"/>
      <c r="D951" s="47"/>
      <c r="E951" s="47"/>
      <c r="F951" s="47"/>
      <c r="G951" s="47"/>
      <c r="H951" s="84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</row>
    <row r="952" spans="1:30" ht="12.75" customHeight="1">
      <c r="A952" s="47"/>
      <c r="B952" s="47"/>
      <c r="C952" s="47"/>
      <c r="D952" s="47"/>
      <c r="E952" s="47"/>
      <c r="F952" s="47"/>
      <c r="G952" s="47"/>
      <c r="H952" s="84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</row>
    <row r="953" spans="1:30" ht="12.75" customHeight="1">
      <c r="A953" s="47"/>
      <c r="B953" s="47"/>
      <c r="C953" s="47"/>
      <c r="D953" s="47"/>
      <c r="E953" s="47"/>
      <c r="F953" s="47"/>
      <c r="G953" s="47"/>
      <c r="H953" s="84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</row>
    <row r="954" spans="1:30" ht="12.75" customHeight="1">
      <c r="A954" s="47"/>
      <c r="B954" s="47"/>
      <c r="C954" s="47"/>
      <c r="D954" s="47"/>
      <c r="E954" s="47"/>
      <c r="F954" s="47"/>
      <c r="G954" s="47"/>
      <c r="H954" s="84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</row>
    <row r="955" spans="1:30" ht="12.75" customHeight="1">
      <c r="A955" s="47"/>
      <c r="B955" s="47"/>
      <c r="C955" s="47"/>
      <c r="D955" s="47"/>
      <c r="E955" s="47"/>
      <c r="F955" s="47"/>
      <c r="G955" s="47"/>
      <c r="H955" s="84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</row>
    <row r="956" spans="1:30" ht="12.75" customHeight="1">
      <c r="A956" s="47"/>
      <c r="B956" s="47"/>
      <c r="C956" s="47"/>
      <c r="D956" s="47"/>
      <c r="E956" s="47"/>
      <c r="F956" s="47"/>
      <c r="G956" s="47"/>
      <c r="H956" s="84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</row>
    <row r="957" spans="1:30" ht="12.75" customHeight="1">
      <c r="A957" s="47"/>
      <c r="B957" s="47"/>
      <c r="C957" s="47"/>
      <c r="D957" s="47"/>
      <c r="E957" s="47"/>
      <c r="F957" s="47"/>
      <c r="G957" s="47"/>
      <c r="H957" s="84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</row>
    <row r="958" spans="1:30" ht="12.75" customHeight="1">
      <c r="A958" s="47"/>
      <c r="B958" s="47"/>
      <c r="C958" s="47"/>
      <c r="D958" s="47"/>
      <c r="E958" s="47"/>
      <c r="F958" s="47"/>
      <c r="G958" s="47"/>
      <c r="H958" s="84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</row>
    <row r="959" spans="1:30" ht="12.75" customHeight="1">
      <c r="A959" s="47"/>
      <c r="B959" s="47"/>
      <c r="C959" s="47"/>
      <c r="D959" s="47"/>
      <c r="E959" s="47"/>
      <c r="F959" s="47"/>
      <c r="G959" s="47"/>
      <c r="H959" s="84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</row>
    <row r="960" spans="1:30" ht="12.75" customHeight="1">
      <c r="A960" s="47"/>
      <c r="B960" s="47"/>
      <c r="C960" s="47"/>
      <c r="D960" s="47"/>
      <c r="E960" s="47"/>
      <c r="F960" s="47"/>
      <c r="G960" s="47"/>
      <c r="H960" s="84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</row>
    <row r="961" spans="1:30" ht="12.75" customHeight="1">
      <c r="A961" s="47"/>
      <c r="B961" s="47"/>
      <c r="C961" s="47"/>
      <c r="D961" s="47"/>
      <c r="E961" s="47"/>
      <c r="F961" s="47"/>
      <c r="G961" s="47"/>
      <c r="H961" s="84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</row>
    <row r="962" spans="1:30" ht="12.75" customHeight="1">
      <c r="A962" s="47"/>
      <c r="B962" s="47"/>
      <c r="C962" s="47"/>
      <c r="D962" s="47"/>
      <c r="E962" s="47"/>
      <c r="F962" s="47"/>
      <c r="G962" s="47"/>
      <c r="H962" s="84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</row>
    <row r="963" spans="1:30" ht="12.75" customHeight="1">
      <c r="A963" s="47"/>
      <c r="B963" s="47"/>
      <c r="C963" s="47"/>
      <c r="D963" s="47"/>
      <c r="E963" s="47"/>
      <c r="F963" s="47"/>
      <c r="G963" s="47"/>
      <c r="H963" s="84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</row>
    <row r="964" spans="1:30" ht="12.75" customHeight="1">
      <c r="A964" s="47"/>
      <c r="B964" s="47"/>
      <c r="C964" s="47"/>
      <c r="D964" s="47"/>
      <c r="E964" s="47"/>
      <c r="F964" s="47"/>
      <c r="G964" s="47"/>
      <c r="H964" s="84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</row>
    <row r="965" spans="1:30" ht="12.75" customHeight="1">
      <c r="A965" s="47"/>
      <c r="B965" s="47"/>
      <c r="C965" s="47"/>
      <c r="D965" s="47"/>
      <c r="E965" s="47"/>
      <c r="F965" s="47"/>
      <c r="G965" s="47"/>
      <c r="H965" s="84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</row>
    <row r="966" spans="1:30" ht="12.75" customHeight="1">
      <c r="A966" s="47"/>
      <c r="B966" s="47"/>
      <c r="C966" s="47"/>
      <c r="D966" s="47"/>
      <c r="E966" s="47"/>
      <c r="F966" s="47"/>
      <c r="G966" s="47"/>
      <c r="H966" s="84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</row>
    <row r="967" spans="1:30" ht="12.75" customHeight="1">
      <c r="A967" s="47"/>
      <c r="B967" s="47"/>
      <c r="C967" s="47"/>
      <c r="D967" s="47"/>
      <c r="E967" s="47"/>
      <c r="F967" s="47"/>
      <c r="G967" s="47"/>
      <c r="H967" s="84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</row>
    <row r="968" spans="1:30" ht="12.75" customHeight="1">
      <c r="A968" s="47"/>
      <c r="B968" s="47"/>
      <c r="C968" s="47"/>
      <c r="D968" s="47"/>
      <c r="E968" s="47"/>
      <c r="F968" s="47"/>
      <c r="G968" s="47"/>
      <c r="H968" s="84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</row>
    <row r="969" spans="1:30" ht="12.75" customHeight="1">
      <c r="A969" s="47"/>
      <c r="B969" s="47"/>
      <c r="C969" s="47"/>
      <c r="D969" s="47"/>
      <c r="E969" s="47"/>
      <c r="F969" s="47"/>
      <c r="G969" s="47"/>
      <c r="H969" s="84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</row>
    <row r="970" spans="1:30" ht="12.75" customHeight="1">
      <c r="A970" s="47"/>
      <c r="B970" s="47"/>
      <c r="C970" s="47"/>
      <c r="D970" s="47"/>
      <c r="E970" s="47"/>
      <c r="F970" s="47"/>
      <c r="G970" s="47"/>
      <c r="H970" s="84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</row>
    <row r="971" spans="1:30" ht="12.75" customHeight="1">
      <c r="A971" s="47"/>
      <c r="B971" s="47"/>
      <c r="C971" s="47"/>
      <c r="D971" s="47"/>
      <c r="E971" s="47"/>
      <c r="F971" s="47"/>
      <c r="G971" s="47"/>
      <c r="H971" s="84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</row>
    <row r="972" spans="1:30" ht="12.75" customHeight="1">
      <c r="A972" s="47"/>
      <c r="B972" s="47"/>
      <c r="C972" s="47"/>
      <c r="D972" s="47"/>
      <c r="E972" s="47"/>
      <c r="F972" s="47"/>
      <c r="G972" s="47"/>
      <c r="H972" s="84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</row>
    <row r="973" spans="1:30" ht="12.75" customHeight="1">
      <c r="A973" s="47"/>
      <c r="B973" s="47"/>
      <c r="C973" s="47"/>
      <c r="D973" s="47"/>
      <c r="E973" s="47"/>
      <c r="F973" s="47"/>
      <c r="G973" s="47"/>
      <c r="H973" s="84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</row>
    <row r="974" spans="1:30" ht="12.75" customHeight="1">
      <c r="A974" s="47"/>
      <c r="B974" s="47"/>
      <c r="C974" s="47"/>
      <c r="D974" s="47"/>
      <c r="E974" s="47"/>
      <c r="F974" s="47"/>
      <c r="G974" s="47"/>
      <c r="H974" s="84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</row>
    <row r="975" spans="1:30" ht="12.75" customHeight="1">
      <c r="A975" s="47"/>
      <c r="B975" s="47"/>
      <c r="C975" s="47"/>
      <c r="D975" s="47"/>
      <c r="E975" s="47"/>
      <c r="F975" s="47"/>
      <c r="G975" s="47"/>
      <c r="H975" s="84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</row>
    <row r="976" spans="1:30" ht="12.75" customHeight="1">
      <c r="A976" s="47"/>
      <c r="B976" s="47"/>
      <c r="C976" s="47"/>
      <c r="D976" s="47"/>
      <c r="E976" s="47"/>
      <c r="F976" s="47"/>
      <c r="G976" s="47"/>
      <c r="H976" s="84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</row>
    <row r="977" spans="1:30" ht="12.75" customHeight="1">
      <c r="A977" s="47"/>
      <c r="B977" s="47"/>
      <c r="C977" s="47"/>
      <c r="D977" s="47"/>
      <c r="E977" s="47"/>
      <c r="F977" s="47"/>
      <c r="G977" s="47"/>
      <c r="H977" s="84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</row>
    <row r="978" spans="1:30" ht="12.75" customHeight="1">
      <c r="A978" s="47"/>
      <c r="B978" s="47"/>
      <c r="C978" s="47"/>
      <c r="D978" s="47"/>
      <c r="E978" s="47"/>
      <c r="F978" s="47"/>
      <c r="G978" s="47"/>
      <c r="H978" s="84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</row>
    <row r="979" spans="1:30" ht="12.75" customHeight="1">
      <c r="A979" s="47"/>
      <c r="B979" s="47"/>
      <c r="C979" s="47"/>
      <c r="D979" s="47"/>
      <c r="E979" s="47"/>
      <c r="F979" s="47"/>
      <c r="G979" s="47"/>
      <c r="H979" s="84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</row>
    <row r="980" spans="1:30" ht="12.75" customHeight="1">
      <c r="A980" s="47"/>
      <c r="B980" s="47"/>
      <c r="C980" s="47"/>
      <c r="D980" s="47"/>
      <c r="E980" s="47"/>
      <c r="F980" s="47"/>
      <c r="G980" s="47"/>
      <c r="H980" s="84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</row>
    <row r="981" spans="1:30" ht="12.75" customHeight="1">
      <c r="A981" s="47"/>
      <c r="B981" s="47"/>
      <c r="C981" s="47"/>
      <c r="D981" s="47"/>
      <c r="E981" s="47"/>
      <c r="F981" s="47"/>
      <c r="G981" s="47"/>
      <c r="H981" s="84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</row>
    <row r="982" spans="1:30" ht="12.75" customHeight="1">
      <c r="A982" s="47"/>
      <c r="B982" s="47"/>
      <c r="C982" s="47"/>
      <c r="D982" s="47"/>
      <c r="E982" s="47"/>
      <c r="F982" s="47"/>
      <c r="G982" s="47"/>
      <c r="H982" s="84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</row>
    <row r="983" spans="1:30" ht="12.75" customHeight="1">
      <c r="A983" s="47"/>
      <c r="B983" s="47"/>
      <c r="C983" s="47"/>
      <c r="D983" s="47"/>
      <c r="E983" s="47"/>
      <c r="F983" s="47"/>
      <c r="G983" s="47"/>
      <c r="H983" s="84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</row>
    <row r="984" spans="1:30" ht="12.75" customHeight="1">
      <c r="A984" s="47"/>
      <c r="B984" s="47"/>
      <c r="C984" s="47"/>
      <c r="D984" s="47"/>
      <c r="E984" s="47"/>
      <c r="F984" s="47"/>
      <c r="G984" s="47"/>
      <c r="H984" s="84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</row>
    <row r="985" spans="1:30" ht="12.75" customHeight="1">
      <c r="A985" s="47"/>
      <c r="B985" s="47"/>
      <c r="C985" s="47"/>
      <c r="D985" s="47"/>
      <c r="E985" s="47"/>
      <c r="F985" s="47"/>
      <c r="G985" s="47"/>
      <c r="H985" s="84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</row>
    <row r="986" spans="1:30" ht="12.75" customHeight="1">
      <c r="A986" s="47"/>
      <c r="B986" s="47"/>
      <c r="C986" s="47"/>
      <c r="D986" s="47"/>
      <c r="E986" s="47"/>
      <c r="F986" s="47"/>
      <c r="G986" s="47"/>
      <c r="H986" s="84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</row>
    <row r="987" spans="1:30" ht="12.75" customHeight="1">
      <c r="A987" s="47"/>
      <c r="B987" s="47"/>
      <c r="C987" s="47"/>
      <c r="D987" s="47"/>
      <c r="E987" s="47"/>
      <c r="F987" s="47"/>
      <c r="G987" s="47"/>
      <c r="H987" s="84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</row>
    <row r="988" spans="1:30" ht="12.75" customHeight="1">
      <c r="A988" s="47"/>
      <c r="B988" s="47"/>
      <c r="C988" s="47"/>
      <c r="D988" s="47"/>
      <c r="E988" s="47"/>
      <c r="F988" s="47"/>
      <c r="G988" s="47"/>
      <c r="H988" s="84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</row>
    <row r="989" spans="1:30" ht="12.75" customHeight="1">
      <c r="A989" s="47"/>
      <c r="B989" s="47"/>
      <c r="C989" s="47"/>
      <c r="D989" s="47"/>
      <c r="E989" s="47"/>
      <c r="F989" s="47"/>
      <c r="G989" s="47"/>
      <c r="H989" s="84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</row>
    <row r="990" spans="1:30" ht="12.75" customHeight="1">
      <c r="A990" s="47"/>
      <c r="B990" s="47"/>
      <c r="C990" s="47"/>
      <c r="D990" s="47"/>
      <c r="E990" s="47"/>
      <c r="F990" s="47"/>
      <c r="G990" s="47"/>
      <c r="H990" s="84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</row>
    <row r="991" spans="1:30" ht="12.75" customHeight="1">
      <c r="A991" s="47"/>
      <c r="B991" s="47"/>
      <c r="C991" s="47"/>
      <c r="D991" s="47"/>
      <c r="E991" s="47"/>
      <c r="F991" s="47"/>
      <c r="G991" s="47"/>
      <c r="H991" s="84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</row>
    <row r="992" spans="1:30" ht="12.75" customHeight="1">
      <c r="A992" s="47"/>
      <c r="B992" s="47"/>
      <c r="C992" s="47"/>
      <c r="D992" s="47"/>
      <c r="E992" s="47"/>
      <c r="F992" s="47"/>
      <c r="G992" s="47"/>
      <c r="H992" s="84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</row>
    <row r="993" spans="1:30" ht="12.75" customHeight="1">
      <c r="A993" s="47"/>
      <c r="B993" s="47"/>
      <c r="C993" s="47"/>
      <c r="D993" s="47"/>
      <c r="E993" s="47"/>
      <c r="F993" s="47"/>
      <c r="G993" s="47"/>
      <c r="H993" s="84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</row>
    <row r="994" spans="1:30" ht="12.75" customHeight="1">
      <c r="A994" s="47"/>
      <c r="B994" s="47"/>
      <c r="C994" s="47"/>
      <c r="D994" s="47"/>
      <c r="E994" s="47"/>
      <c r="F994" s="47"/>
      <c r="G994" s="47"/>
      <c r="H994" s="84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</row>
    <row r="995" spans="1:30" ht="12.75" customHeight="1">
      <c r="A995" s="47"/>
      <c r="B995" s="47"/>
      <c r="C995" s="47"/>
      <c r="D995" s="47"/>
      <c r="E995" s="47"/>
      <c r="F995" s="47"/>
      <c r="G995" s="47"/>
      <c r="H995" s="84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</row>
    <row r="996" spans="1:30" ht="12.75" customHeight="1">
      <c r="A996" s="47"/>
      <c r="B996" s="47"/>
      <c r="C996" s="47"/>
      <c r="D996" s="47"/>
      <c r="E996" s="47"/>
      <c r="F996" s="47"/>
      <c r="G996" s="47"/>
      <c r="H996" s="84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</row>
    <row r="997" spans="1:30" ht="12.75" customHeight="1">
      <c r="A997" s="47"/>
      <c r="B997" s="47"/>
      <c r="C997" s="47"/>
      <c r="D997" s="47"/>
      <c r="E997" s="47"/>
      <c r="F997" s="47"/>
      <c r="G997" s="47"/>
      <c r="H997" s="84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</row>
    <row r="998" spans="1:30" ht="12.75" customHeight="1">
      <c r="A998" s="47"/>
      <c r="B998" s="47"/>
      <c r="C998" s="47"/>
      <c r="D998" s="47"/>
      <c r="E998" s="47"/>
      <c r="F998" s="47"/>
      <c r="G998" s="47"/>
      <c r="H998" s="84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</row>
    <row r="999" spans="1:30" ht="12.75" customHeight="1">
      <c r="A999" s="47"/>
      <c r="B999" s="47"/>
      <c r="C999" s="47"/>
      <c r="D999" s="47"/>
      <c r="E999" s="47"/>
      <c r="F999" s="47"/>
      <c r="G999" s="47"/>
      <c r="H999" s="84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</row>
    <row r="1000" spans="1:30" ht="12.75" customHeight="1">
      <c r="A1000" s="47"/>
      <c r="B1000" s="47"/>
      <c r="C1000" s="47"/>
      <c r="D1000" s="47"/>
      <c r="E1000" s="47"/>
      <c r="F1000" s="47"/>
      <c r="G1000" s="47"/>
      <c r="H1000" s="84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</row>
  </sheetData>
  <mergeCells count="532">
    <mergeCell ref="A51:A52"/>
    <mergeCell ref="A49:A50"/>
    <mergeCell ref="J49:J50"/>
    <mergeCell ref="K49:K50"/>
    <mergeCell ref="L49:L50"/>
    <mergeCell ref="L51:L52"/>
    <mergeCell ref="I51:I52"/>
    <mergeCell ref="H51:H52"/>
    <mergeCell ref="E51:E52"/>
    <mergeCell ref="E49:E50"/>
    <mergeCell ref="D49:D50"/>
    <mergeCell ref="D51:D52"/>
    <mergeCell ref="F51:F52"/>
    <mergeCell ref="F49:F50"/>
    <mergeCell ref="K51:K52"/>
    <mergeCell ref="J51:J52"/>
    <mergeCell ref="I49:I50"/>
    <mergeCell ref="H49:H50"/>
    <mergeCell ref="G51:G52"/>
    <mergeCell ref="G49:G50"/>
    <mergeCell ref="B49:B50"/>
    <mergeCell ref="C49:C50"/>
    <mergeCell ref="B51:B52"/>
    <mergeCell ref="C51:C52"/>
    <mergeCell ref="N49:N50"/>
    <mergeCell ref="N51:N52"/>
    <mergeCell ref="M51:M52"/>
    <mergeCell ref="M49:M50"/>
    <mergeCell ref="Q49:Q50"/>
    <mergeCell ref="M75:M76"/>
    <mergeCell ref="H75:H76"/>
    <mergeCell ref="I75:I76"/>
    <mergeCell ref="F75:F76"/>
    <mergeCell ref="J75:J76"/>
    <mergeCell ref="G75:G76"/>
    <mergeCell ref="Y126:Y127"/>
    <mergeCell ref="X126:X127"/>
    <mergeCell ref="T126:T127"/>
    <mergeCell ref="U126:U127"/>
    <mergeCell ref="W126:W127"/>
    <mergeCell ref="L126:L127"/>
    <mergeCell ref="K75:K76"/>
    <mergeCell ref="L75:L76"/>
    <mergeCell ref="P75:P76"/>
    <mergeCell ref="O75:O76"/>
    <mergeCell ref="Q75:Q76"/>
    <mergeCell ref="N75:N76"/>
    <mergeCell ref="Y75:Y76"/>
    <mergeCell ref="K126:K127"/>
    <mergeCell ref="O126:O127"/>
    <mergeCell ref="A75:A76"/>
    <mergeCell ref="L77:L78"/>
    <mergeCell ref="K77:K78"/>
    <mergeCell ref="C77:C78"/>
    <mergeCell ref="D77:D78"/>
    <mergeCell ref="I77:I78"/>
    <mergeCell ref="H77:H78"/>
    <mergeCell ref="A77:A78"/>
    <mergeCell ref="B77:B78"/>
    <mergeCell ref="K163:K164"/>
    <mergeCell ref="G77:G78"/>
    <mergeCell ref="X75:X76"/>
    <mergeCell ref="W75:W76"/>
    <mergeCell ref="H126:H127"/>
    <mergeCell ref="D75:D76"/>
    <mergeCell ref="E75:E76"/>
    <mergeCell ref="C75:C76"/>
    <mergeCell ref="B75:B76"/>
    <mergeCell ref="M77:M78"/>
    <mergeCell ref="N77:N78"/>
    <mergeCell ref="C126:C127"/>
    <mergeCell ref="B126:B127"/>
    <mergeCell ref="P126:P127"/>
    <mergeCell ref="Q126:Q127"/>
    <mergeCell ref="S126:S127"/>
    <mergeCell ref="I126:I127"/>
    <mergeCell ref="J126:J127"/>
    <mergeCell ref="I196:I197"/>
    <mergeCell ref="U173:U174"/>
    <mergeCell ref="L130:L131"/>
    <mergeCell ref="J77:J78"/>
    <mergeCell ref="E77:E78"/>
    <mergeCell ref="F77:F78"/>
    <mergeCell ref="D268:D269"/>
    <mergeCell ref="B268:B269"/>
    <mergeCell ref="A268:A269"/>
    <mergeCell ref="C268:C269"/>
    <mergeCell ref="E268:E269"/>
    <mergeCell ref="G268:G269"/>
    <mergeCell ref="H268:H269"/>
    <mergeCell ref="B180:B181"/>
    <mergeCell ref="F177:F178"/>
    <mergeCell ref="F173:F174"/>
    <mergeCell ref="D173:D174"/>
    <mergeCell ref="H163:H164"/>
    <mergeCell ref="G177:G178"/>
    <mergeCell ref="H194:H195"/>
    <mergeCell ref="G196:G197"/>
    <mergeCell ref="K130:K131"/>
    <mergeCell ref="K173:K174"/>
    <mergeCell ref="J173:J174"/>
    <mergeCell ref="K180:K181"/>
    <mergeCell ref="K168:K169"/>
    <mergeCell ref="M173:M174"/>
    <mergeCell ref="F268:F269"/>
    <mergeCell ref="I268:I269"/>
    <mergeCell ref="X268:X269"/>
    <mergeCell ref="W268:W269"/>
    <mergeCell ref="T268:T269"/>
    <mergeCell ref="U268:U269"/>
    <mergeCell ref="S268:S269"/>
    <mergeCell ref="P268:P269"/>
    <mergeCell ref="Q268:Q269"/>
    <mergeCell ref="V268:V269"/>
    <mergeCell ref="H215:H216"/>
    <mergeCell ref="I215:I216"/>
    <mergeCell ref="G215:G216"/>
    <mergeCell ref="F215:F216"/>
    <mergeCell ref="J215:J216"/>
    <mergeCell ref="K215:K216"/>
    <mergeCell ref="L215:L216"/>
    <mergeCell ref="O196:O197"/>
    <mergeCell ref="M196:M197"/>
    <mergeCell ref="N196:N197"/>
    <mergeCell ref="L196:L197"/>
    <mergeCell ref="L194:L195"/>
    <mergeCell ref="M170:M172"/>
    <mergeCell ref="L170:L172"/>
    <mergeCell ref="L173:L174"/>
    <mergeCell ref="S215:S216"/>
    <mergeCell ref="P196:P197"/>
    <mergeCell ref="Q196:Q197"/>
    <mergeCell ref="P215:P216"/>
    <mergeCell ref="Q215:Q216"/>
    <mergeCell ref="S196:S197"/>
    <mergeCell ref="O268:O269"/>
    <mergeCell ref="N268:N269"/>
    <mergeCell ref="J268:J269"/>
    <mergeCell ref="K268:K269"/>
    <mergeCell ref="L268:L269"/>
    <mergeCell ref="M268:M269"/>
    <mergeCell ref="N215:N216"/>
    <mergeCell ref="M215:M216"/>
    <mergeCell ref="O215:O216"/>
    <mergeCell ref="Y49:Y50"/>
    <mergeCell ref="Y51:Y52"/>
    <mergeCell ref="X77:X78"/>
    <mergeCell ref="P77:P78"/>
    <mergeCell ref="O77:O78"/>
    <mergeCell ref="W77:W78"/>
    <mergeCell ref="V126:V127"/>
    <mergeCell ref="T77:T78"/>
    <mergeCell ref="S77:S78"/>
    <mergeCell ref="Y77:Y78"/>
    <mergeCell ref="U77:U78"/>
    <mergeCell ref="V77:V78"/>
    <mergeCell ref="Q77:Q78"/>
    <mergeCell ref="O51:O52"/>
    <mergeCell ref="Q51:Q52"/>
    <mergeCell ref="P51:P52"/>
    <mergeCell ref="O49:O50"/>
    <mergeCell ref="P49:P50"/>
    <mergeCell ref="S49:S50"/>
    <mergeCell ref="T49:T50"/>
    <mergeCell ref="S51:S52"/>
    <mergeCell ref="T51:T52"/>
    <mergeCell ref="T75:T76"/>
    <mergeCell ref="S75:S76"/>
    <mergeCell ref="Z49:Z50"/>
    <mergeCell ref="AA49:AA50"/>
    <mergeCell ref="AA51:AA52"/>
    <mergeCell ref="AC49:AC50"/>
    <mergeCell ref="AC51:AC52"/>
    <mergeCell ref="Z51:Z52"/>
    <mergeCell ref="AB49:AB50"/>
    <mergeCell ref="AB51:AB52"/>
    <mergeCell ref="AA77:AA78"/>
    <mergeCell ref="AB77:AB78"/>
    <mergeCell ref="AC77:AC78"/>
    <mergeCell ref="AA75:AA76"/>
    <mergeCell ref="AB75:AB76"/>
    <mergeCell ref="Z75:Z76"/>
    <mergeCell ref="AC75:AC76"/>
    <mergeCell ref="Z77:Z78"/>
    <mergeCell ref="W49:W50"/>
    <mergeCell ref="W51:W52"/>
    <mergeCell ref="X51:X52"/>
    <mergeCell ref="V51:V52"/>
    <mergeCell ref="V49:V50"/>
    <mergeCell ref="X49:X50"/>
    <mergeCell ref="V75:V76"/>
    <mergeCell ref="U75:U76"/>
    <mergeCell ref="U51:U52"/>
    <mergeCell ref="U49:U50"/>
    <mergeCell ref="AC268:AC269"/>
    <mergeCell ref="AB268:AB269"/>
    <mergeCell ref="AA268:AA269"/>
    <mergeCell ref="Y268:Y269"/>
    <mergeCell ref="Z268:Z269"/>
    <mergeCell ref="Y196:Y197"/>
    <mergeCell ref="Z194:Z195"/>
    <mergeCell ref="Z196:Z197"/>
    <mergeCell ref="AA161:AA162"/>
    <mergeCell ref="AA163:AA164"/>
    <mergeCell ref="Y170:Y172"/>
    <mergeCell ref="Y165:Y166"/>
    <mergeCell ref="Y173:Y174"/>
    <mergeCell ref="Y177:Y178"/>
    <mergeCell ref="Y168:Y169"/>
    <mergeCell ref="AC215:AC216"/>
    <mergeCell ref="AC173:AC174"/>
    <mergeCell ref="AC170:AC172"/>
    <mergeCell ref="AC165:AC166"/>
    <mergeCell ref="AC168:AC169"/>
    <mergeCell ref="AC161:AC162"/>
    <mergeCell ref="AC163:AC164"/>
    <mergeCell ref="AB194:AB195"/>
    <mergeCell ref="AA194:AA195"/>
    <mergeCell ref="AB196:AB197"/>
    <mergeCell ref="AB165:AB166"/>
    <mergeCell ref="AA170:AA172"/>
    <mergeCell ref="AB170:AB172"/>
    <mergeCell ref="AB168:AB169"/>
    <mergeCell ref="AA168:AA169"/>
    <mergeCell ref="Z165:Z166"/>
    <mergeCell ref="AA165:AA166"/>
    <mergeCell ref="X215:X216"/>
    <mergeCell ref="Z215:Z216"/>
    <mergeCell ref="Y215:Y216"/>
    <mergeCell ref="AB215:AB216"/>
    <mergeCell ref="AA215:AA216"/>
    <mergeCell ref="X170:X172"/>
    <mergeCell ref="X196:X197"/>
    <mergeCell ref="X165:X166"/>
    <mergeCell ref="Y194:Y195"/>
    <mergeCell ref="X194:X195"/>
    <mergeCell ref="AA126:AA127"/>
    <mergeCell ref="Z126:Z127"/>
    <mergeCell ref="AB126:AB127"/>
    <mergeCell ref="AC126:AC127"/>
    <mergeCell ref="AB130:AB131"/>
    <mergeCell ref="AC130:AC131"/>
    <mergeCell ref="K132:K133"/>
    <mergeCell ref="J132:J133"/>
    <mergeCell ref="A126:A127"/>
    <mergeCell ref="A132:A133"/>
    <mergeCell ref="A130:A131"/>
    <mergeCell ref="B130:B131"/>
    <mergeCell ref="B132:B133"/>
    <mergeCell ref="C132:C133"/>
    <mergeCell ref="I130:I131"/>
    <mergeCell ref="I132:I133"/>
    <mergeCell ref="H132:H133"/>
    <mergeCell ref="H130:H131"/>
    <mergeCell ref="G130:G131"/>
    <mergeCell ref="F132:F133"/>
    <mergeCell ref="F130:F131"/>
    <mergeCell ref="G132:G133"/>
    <mergeCell ref="D132:D133"/>
    <mergeCell ref="E132:E133"/>
    <mergeCell ref="P173:P174"/>
    <mergeCell ref="Q173:Q174"/>
    <mergeCell ref="M163:M164"/>
    <mergeCell ref="M168:M169"/>
    <mergeCell ref="M177:M178"/>
    <mergeCell ref="X173:X174"/>
    <mergeCell ref="N168:N169"/>
    <mergeCell ref="N170:N172"/>
    <mergeCell ref="X161:X162"/>
    <mergeCell ref="X163:X164"/>
    <mergeCell ref="T163:T164"/>
    <mergeCell ref="T165:T166"/>
    <mergeCell ref="U163:U164"/>
    <mergeCell ref="T161:T162"/>
    <mergeCell ref="V163:V164"/>
    <mergeCell ref="W163:W164"/>
    <mergeCell ref="W165:W166"/>
    <mergeCell ref="U168:U169"/>
    <mergeCell ref="V168:V169"/>
    <mergeCell ref="V173:V174"/>
    <mergeCell ref="U177:U178"/>
    <mergeCell ref="W132:W133"/>
    <mergeCell ref="O170:O172"/>
    <mergeCell ref="P177:P178"/>
    <mergeCell ref="P170:P172"/>
    <mergeCell ref="P165:P166"/>
    <mergeCell ref="O165:O166"/>
    <mergeCell ref="P132:P133"/>
    <mergeCell ref="O132:O133"/>
    <mergeCell ref="Q170:Q172"/>
    <mergeCell ref="O168:O169"/>
    <mergeCell ref="Q165:Q166"/>
    <mergeCell ref="Q161:Q162"/>
    <mergeCell ref="Q163:Q164"/>
    <mergeCell ref="O163:O164"/>
    <mergeCell ref="W170:W172"/>
    <mergeCell ref="U170:U172"/>
    <mergeCell ref="W168:W169"/>
    <mergeCell ref="T170:T172"/>
    <mergeCell ref="T173:T174"/>
    <mergeCell ref="T168:T169"/>
    <mergeCell ref="Q168:Q169"/>
    <mergeCell ref="P168:P169"/>
    <mergeCell ref="F196:F197"/>
    <mergeCell ref="F194:F195"/>
    <mergeCell ref="H196:H197"/>
    <mergeCell ref="I161:I162"/>
    <mergeCell ref="G194:G195"/>
    <mergeCell ref="I194:I195"/>
    <mergeCell ref="Z163:Z164"/>
    <mergeCell ref="AB161:AB162"/>
    <mergeCell ref="AB163:AB164"/>
    <mergeCell ref="N161:N162"/>
    <mergeCell ref="M194:M195"/>
    <mergeCell ref="S161:S162"/>
    <mergeCell ref="S163:S164"/>
    <mergeCell ref="S194:S195"/>
    <mergeCell ref="S165:S166"/>
    <mergeCell ref="P194:P195"/>
    <mergeCell ref="Q194:Q195"/>
    <mergeCell ref="N180:N181"/>
    <mergeCell ref="O173:O174"/>
    <mergeCell ref="N173:N174"/>
    <mergeCell ref="N194:N195"/>
    <mergeCell ref="O194:O195"/>
    <mergeCell ref="S173:S174"/>
    <mergeCell ref="O180:O181"/>
    <mergeCell ref="AC196:AC197"/>
    <mergeCell ref="AC194:AC195"/>
    <mergeCell ref="AB173:AB174"/>
    <mergeCell ref="AA196:AA197"/>
    <mergeCell ref="AC180:AC181"/>
    <mergeCell ref="B168:B169"/>
    <mergeCell ref="B163:B164"/>
    <mergeCell ref="C163:C164"/>
    <mergeCell ref="B170:B172"/>
    <mergeCell ref="C180:C181"/>
    <mergeCell ref="L177:L178"/>
    <mergeCell ref="L163:L164"/>
    <mergeCell ref="C168:C169"/>
    <mergeCell ref="C170:C172"/>
    <mergeCell ref="G170:G172"/>
    <mergeCell ref="J170:J172"/>
    <mergeCell ref="J168:J169"/>
    <mergeCell ref="L180:L181"/>
    <mergeCell ref="M180:M181"/>
    <mergeCell ref="O177:O178"/>
    <mergeCell ref="N177:N178"/>
    <mergeCell ref="S170:S172"/>
    <mergeCell ref="N163:N164"/>
    <mergeCell ref="S168:S169"/>
    <mergeCell ref="AB132:AB133"/>
    <mergeCell ref="AC132:AC133"/>
    <mergeCell ref="T130:T131"/>
    <mergeCell ref="Z130:Z131"/>
    <mergeCell ref="Y180:Y181"/>
    <mergeCell ref="AB180:AB181"/>
    <mergeCell ref="AA180:AA181"/>
    <mergeCell ref="Z180:Z181"/>
    <mergeCell ref="AA173:AA174"/>
    <mergeCell ref="Z173:Z174"/>
    <mergeCell ref="AB177:AB178"/>
    <mergeCell ref="AA177:AA178"/>
    <mergeCell ref="Z177:Z178"/>
    <mergeCell ref="AC177:AC178"/>
    <mergeCell ref="X177:X178"/>
    <mergeCell ref="X180:X181"/>
    <mergeCell ref="Z168:Z169"/>
    <mergeCell ref="Z170:Z172"/>
    <mergeCell ref="Y163:Y164"/>
    <mergeCell ref="Y161:Y162"/>
    <mergeCell ref="Z161:Z162"/>
    <mergeCell ref="X168:X169"/>
    <mergeCell ref="V170:V172"/>
    <mergeCell ref="W173:W174"/>
    <mergeCell ref="Z132:Z133"/>
    <mergeCell ref="W130:W131"/>
    <mergeCell ref="Y130:Y131"/>
    <mergeCell ref="AA132:AA133"/>
    <mergeCell ref="X132:X133"/>
    <mergeCell ref="T132:T133"/>
    <mergeCell ref="V130:V131"/>
    <mergeCell ref="AA130:AA131"/>
    <mergeCell ref="S132:S133"/>
    <mergeCell ref="S130:S131"/>
    <mergeCell ref="X130:X131"/>
    <mergeCell ref="U130:U131"/>
    <mergeCell ref="V132:V133"/>
    <mergeCell ref="U132:U133"/>
    <mergeCell ref="Y132:Y133"/>
    <mergeCell ref="W215:W216"/>
    <mergeCell ref="T215:T216"/>
    <mergeCell ref="V215:V216"/>
    <mergeCell ref="U215:U216"/>
    <mergeCell ref="W177:W178"/>
    <mergeCell ref="V177:V178"/>
    <mergeCell ref="T180:T181"/>
    <mergeCell ref="P180:P181"/>
    <mergeCell ref="S177:S178"/>
    <mergeCell ref="T177:T178"/>
    <mergeCell ref="W196:W197"/>
    <mergeCell ref="V196:V197"/>
    <mergeCell ref="U196:U197"/>
    <mergeCell ref="T194:T195"/>
    <mergeCell ref="T196:T197"/>
    <mergeCell ref="U194:U195"/>
    <mergeCell ref="V194:V195"/>
    <mergeCell ref="V180:V181"/>
    <mergeCell ref="U180:U181"/>
    <mergeCell ref="W180:W181"/>
    <mergeCell ref="W194:W195"/>
    <mergeCell ref="Q180:Q181"/>
    <mergeCell ref="Q177:Q178"/>
    <mergeCell ref="S180:S181"/>
    <mergeCell ref="G180:G181"/>
    <mergeCell ref="D126:D127"/>
    <mergeCell ref="E126:E127"/>
    <mergeCell ref="G165:G166"/>
    <mergeCell ref="F165:F166"/>
    <mergeCell ref="F170:F172"/>
    <mergeCell ref="F168:F169"/>
    <mergeCell ref="D168:D169"/>
    <mergeCell ref="E168:E169"/>
    <mergeCell ref="E161:E162"/>
    <mergeCell ref="F161:F162"/>
    <mergeCell ref="G161:G162"/>
    <mergeCell ref="G168:G169"/>
    <mergeCell ref="F180:F181"/>
    <mergeCell ref="E130:E131"/>
    <mergeCell ref="D130:D131"/>
    <mergeCell ref="D165:D166"/>
    <mergeCell ref="G163:G164"/>
    <mergeCell ref="E165:E166"/>
    <mergeCell ref="F163:F164"/>
    <mergeCell ref="E163:E164"/>
    <mergeCell ref="G126:G127"/>
    <mergeCell ref="F126:F127"/>
    <mergeCell ref="M126:M127"/>
    <mergeCell ref="N126:N127"/>
    <mergeCell ref="N132:N133"/>
    <mergeCell ref="L132:L133"/>
    <mergeCell ref="J130:J131"/>
    <mergeCell ref="D161:D162"/>
    <mergeCell ref="O161:O162"/>
    <mergeCell ref="A161:A162"/>
    <mergeCell ref="J161:J162"/>
    <mergeCell ref="A163:A164"/>
    <mergeCell ref="A165:A166"/>
    <mergeCell ref="W161:W162"/>
    <mergeCell ref="M130:M131"/>
    <mergeCell ref="M132:M133"/>
    <mergeCell ref="N130:N131"/>
    <mergeCell ref="O130:O131"/>
    <mergeCell ref="U165:U166"/>
    <mergeCell ref="B161:B162"/>
    <mergeCell ref="C161:C162"/>
    <mergeCell ref="N165:N166"/>
    <mergeCell ref="H165:H166"/>
    <mergeCell ref="M165:M166"/>
    <mergeCell ref="L165:L166"/>
    <mergeCell ref="J165:J166"/>
    <mergeCell ref="I165:I166"/>
    <mergeCell ref="K165:K166"/>
    <mergeCell ref="C130:C131"/>
    <mergeCell ref="Q132:Q133"/>
    <mergeCell ref="Q130:Q131"/>
    <mergeCell ref="P130:P131"/>
    <mergeCell ref="V165:V166"/>
    <mergeCell ref="V161:V162"/>
    <mergeCell ref="U161:U162"/>
    <mergeCell ref="A168:A169"/>
    <mergeCell ref="A170:A172"/>
    <mergeCell ref="H180:H181"/>
    <mergeCell ref="I180:I181"/>
    <mergeCell ref="J180:J181"/>
    <mergeCell ref="J177:J178"/>
    <mergeCell ref="H173:H174"/>
    <mergeCell ref="P163:P164"/>
    <mergeCell ref="P161:P162"/>
    <mergeCell ref="D163:D164"/>
    <mergeCell ref="J163:J164"/>
    <mergeCell ref="I163:I164"/>
    <mergeCell ref="L161:L162"/>
    <mergeCell ref="M161:M162"/>
    <mergeCell ref="K161:K162"/>
    <mergeCell ref="H161:H162"/>
    <mergeCell ref="D177:D178"/>
    <mergeCell ref="E170:E172"/>
    <mergeCell ref="H170:H172"/>
    <mergeCell ref="H177:H178"/>
    <mergeCell ref="B165:B166"/>
    <mergeCell ref="C165:C166"/>
    <mergeCell ref="E173:E174"/>
    <mergeCell ref="G173:G174"/>
    <mergeCell ref="I168:I169"/>
    <mergeCell ref="H168:H169"/>
    <mergeCell ref="L168:L169"/>
    <mergeCell ref="D196:D197"/>
    <mergeCell ref="D215:D216"/>
    <mergeCell ref="E215:E216"/>
    <mergeCell ref="C215:C216"/>
    <mergeCell ref="D194:D195"/>
    <mergeCell ref="E194:E195"/>
    <mergeCell ref="C194:C195"/>
    <mergeCell ref="D180:D181"/>
    <mergeCell ref="E180:E181"/>
    <mergeCell ref="E196:E197"/>
    <mergeCell ref="K196:K197"/>
    <mergeCell ref="K194:K195"/>
    <mergeCell ref="K170:K172"/>
    <mergeCell ref="K177:K178"/>
    <mergeCell ref="I177:I178"/>
    <mergeCell ref="I170:I172"/>
    <mergeCell ref="I173:I174"/>
    <mergeCell ref="J194:J195"/>
    <mergeCell ref="J196:J197"/>
    <mergeCell ref="D170:D172"/>
    <mergeCell ref="E177:E178"/>
    <mergeCell ref="A196:A197"/>
    <mergeCell ref="A194:A195"/>
    <mergeCell ref="B173:B174"/>
    <mergeCell ref="C173:C174"/>
    <mergeCell ref="A177:A178"/>
    <mergeCell ref="A215:A216"/>
    <mergeCell ref="C177:C178"/>
    <mergeCell ref="B177:B178"/>
    <mergeCell ref="A173:A174"/>
    <mergeCell ref="A180:A181"/>
    <mergeCell ref="B215:B216"/>
    <mergeCell ref="B196:B197"/>
    <mergeCell ref="B194:B195"/>
    <mergeCell ref="C196:C197"/>
  </mergeCells>
  <hyperlinks>
    <hyperlink ref="P4" r:id="rId1" display="http://www.buildingsmart-tech.org/ifc/IFC4/final/html/schema/ifcsharedcomponentelements/lexical/ifcdiscreteaccessorytype.htm"/>
    <hyperlink ref="P6" r:id="rId2" display="http://www.buildingsmart-tech.org/ifc/IFC4/final/html/schema/ifcsharedcomponentelements/lexical/ifcdiscreteaccessorytype.htm"/>
    <hyperlink ref="O34" r:id="rId3" display="http://www.buildingsmart-tech.org/ifc/IFC4/final/html/schema/ifcplumbingfireprotectiondomain/lexical/ifcstackterminal.htm"/>
  </hyperlinks>
  <pageMargins left="0.78740157499999996" right="0.78740157499999996" top="1" bottom="1" header="0.5" footer="0.5"/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/>
  <cols>
    <col min="1" max="1" width="6.44140625" customWidth="1"/>
    <col min="2" max="2" width="5.44140625" customWidth="1"/>
    <col min="3" max="3" width="6.44140625" customWidth="1"/>
    <col min="4" max="4" width="7.109375" customWidth="1"/>
    <col min="5" max="5" width="8" customWidth="1"/>
    <col min="6" max="6" width="20.44140625" customWidth="1"/>
    <col min="7" max="7" width="20.109375" customWidth="1"/>
    <col min="8" max="8" width="52.6640625" customWidth="1"/>
    <col min="9" max="9" width="9.6640625" customWidth="1"/>
    <col min="10" max="10" width="19.44140625" customWidth="1"/>
    <col min="11" max="11" width="7.44140625" customWidth="1"/>
    <col min="12" max="12" width="8.44140625" customWidth="1"/>
    <col min="13" max="13" width="9.6640625" customWidth="1"/>
    <col min="14" max="14" width="13.109375" customWidth="1"/>
    <col min="15" max="15" width="21.6640625" customWidth="1"/>
    <col min="16" max="16" width="20.6640625" customWidth="1"/>
    <col min="17" max="17" width="13.77734375" customWidth="1"/>
    <col min="18" max="18" width="25" customWidth="1"/>
    <col min="19" max="19" width="15.6640625" customWidth="1"/>
    <col min="20" max="26" width="13.44140625" customWidth="1"/>
  </cols>
  <sheetData>
    <row r="1" spans="1:26" ht="16.5" customHeight="1">
      <c r="A1" s="2" t="s">
        <v>18</v>
      </c>
      <c r="B1" s="3"/>
      <c r="C1" s="4"/>
      <c r="D1" s="5"/>
      <c r="E1" s="2"/>
      <c r="F1" s="6"/>
      <c r="G1" s="3"/>
      <c r="H1" s="9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5"/>
      <c r="Y1" s="15"/>
      <c r="Z1" s="15"/>
    </row>
    <row r="2" spans="1:26" ht="73.5" customHeight="1">
      <c r="A2" s="14" t="s">
        <v>193</v>
      </c>
      <c r="B2" s="14" t="s">
        <v>205</v>
      </c>
      <c r="C2" s="14" t="s">
        <v>207</v>
      </c>
      <c r="D2" s="16" t="s">
        <v>208</v>
      </c>
      <c r="E2" s="16" t="s">
        <v>221</v>
      </c>
      <c r="F2" s="16" t="s">
        <v>222</v>
      </c>
      <c r="G2" s="16" t="s">
        <v>223</v>
      </c>
      <c r="H2" s="18" t="s">
        <v>227</v>
      </c>
      <c r="I2" s="19" t="s">
        <v>246</v>
      </c>
      <c r="J2" s="19" t="s">
        <v>258</v>
      </c>
      <c r="K2" s="19" t="s">
        <v>260</v>
      </c>
      <c r="L2" s="21" t="s">
        <v>261</v>
      </c>
      <c r="M2" s="21" t="s">
        <v>322</v>
      </c>
      <c r="N2" s="21" t="s">
        <v>324</v>
      </c>
      <c r="O2" s="22" t="s">
        <v>325</v>
      </c>
      <c r="P2" s="22" t="s">
        <v>334</v>
      </c>
      <c r="Q2" s="22" t="s">
        <v>335</v>
      </c>
      <c r="R2" s="22" t="s">
        <v>336</v>
      </c>
      <c r="S2" s="23" t="s">
        <v>337</v>
      </c>
      <c r="T2" s="25"/>
      <c r="U2" s="25"/>
      <c r="V2" s="25"/>
      <c r="W2" s="25"/>
      <c r="X2" s="25"/>
      <c r="Y2" s="25"/>
      <c r="Z2" s="25"/>
    </row>
    <row r="3" spans="1:26" ht="21.75" customHeight="1">
      <c r="A3" s="26">
        <v>4</v>
      </c>
      <c r="B3" s="26" t="s">
        <v>363</v>
      </c>
      <c r="C3" s="26">
        <v>40</v>
      </c>
      <c r="D3" s="28" t="s">
        <v>374</v>
      </c>
      <c r="E3" s="30">
        <v>400</v>
      </c>
      <c r="F3" s="32" t="s">
        <v>434</v>
      </c>
      <c r="G3" s="32" t="s">
        <v>454</v>
      </c>
      <c r="H3" s="33" t="s">
        <v>456</v>
      </c>
      <c r="I3" s="28" t="s">
        <v>463</v>
      </c>
      <c r="J3" s="34" t="s">
        <v>466</v>
      </c>
      <c r="K3" s="36"/>
      <c r="L3" s="38" t="s">
        <v>489</v>
      </c>
      <c r="M3" s="38" t="s">
        <v>509</v>
      </c>
      <c r="N3" s="28" t="s">
        <v>510</v>
      </c>
      <c r="O3" s="31" t="s">
        <v>511</v>
      </c>
      <c r="P3" s="31" t="s">
        <v>512</v>
      </c>
      <c r="Q3" s="40" t="s">
        <v>513</v>
      </c>
      <c r="R3" s="42"/>
      <c r="S3" s="44"/>
      <c r="T3" s="15"/>
      <c r="U3" s="15"/>
      <c r="V3" s="15"/>
      <c r="W3" s="15"/>
      <c r="X3" s="15"/>
      <c r="Y3" s="15"/>
      <c r="Z3" s="15"/>
    </row>
    <row r="4" spans="1:26" ht="12.75" customHeight="1">
      <c r="A4" s="26">
        <v>4</v>
      </c>
      <c r="B4" s="26" t="s">
        <v>363</v>
      </c>
      <c r="C4" s="26">
        <v>40</v>
      </c>
      <c r="D4" s="28" t="s">
        <v>374</v>
      </c>
      <c r="E4" s="30">
        <v>400</v>
      </c>
      <c r="F4" s="32" t="s">
        <v>434</v>
      </c>
      <c r="G4" s="32" t="s">
        <v>454</v>
      </c>
      <c r="H4" s="33" t="s">
        <v>526</v>
      </c>
      <c r="I4" s="28" t="s">
        <v>527</v>
      </c>
      <c r="J4" s="31" t="s">
        <v>528</v>
      </c>
      <c r="K4" s="36"/>
      <c r="L4" s="38" t="s">
        <v>529</v>
      </c>
      <c r="M4" s="38" t="s">
        <v>526</v>
      </c>
      <c r="N4" s="28" t="s">
        <v>531</v>
      </c>
      <c r="O4" s="31" t="s">
        <v>511</v>
      </c>
      <c r="P4" s="31" t="s">
        <v>512</v>
      </c>
      <c r="Q4" s="40" t="s">
        <v>532</v>
      </c>
      <c r="R4" s="42"/>
      <c r="S4" s="44"/>
      <c r="T4" s="47"/>
      <c r="U4" s="47"/>
      <c r="V4" s="47"/>
      <c r="W4" s="47"/>
      <c r="X4" s="47"/>
      <c r="Y4" s="47"/>
      <c r="Z4" s="47"/>
    </row>
    <row r="5" spans="1:26" ht="12.75" customHeight="1">
      <c r="A5" s="26">
        <v>4</v>
      </c>
      <c r="B5" s="26" t="s">
        <v>363</v>
      </c>
      <c r="C5" s="26">
        <v>40</v>
      </c>
      <c r="D5" s="28" t="s">
        <v>374</v>
      </c>
      <c r="E5" s="30">
        <v>400</v>
      </c>
      <c r="F5" s="32" t="s">
        <v>434</v>
      </c>
      <c r="G5" s="32" t="s">
        <v>454</v>
      </c>
      <c r="H5" s="33" t="s">
        <v>554</v>
      </c>
      <c r="I5" s="28" t="s">
        <v>555</v>
      </c>
      <c r="J5" s="31" t="s">
        <v>556</v>
      </c>
      <c r="K5" s="36"/>
      <c r="L5" s="38" t="s">
        <v>557</v>
      </c>
      <c r="M5" s="38" t="s">
        <v>454</v>
      </c>
      <c r="N5" s="28" t="s">
        <v>558</v>
      </c>
      <c r="O5" s="31" t="s">
        <v>559</v>
      </c>
      <c r="P5" s="31"/>
      <c r="Q5" s="40"/>
      <c r="R5" s="42"/>
      <c r="S5" s="44"/>
      <c r="T5" s="47"/>
      <c r="U5" s="47"/>
      <c r="V5" s="47"/>
      <c r="W5" s="47"/>
      <c r="X5" s="47"/>
      <c r="Y5" s="47"/>
      <c r="Z5" s="47"/>
    </row>
    <row r="6" spans="1:26" ht="12.75" customHeight="1">
      <c r="A6" s="26">
        <v>4</v>
      </c>
      <c r="B6" s="26" t="s">
        <v>363</v>
      </c>
      <c r="C6" s="26">
        <v>40</v>
      </c>
      <c r="D6" s="28" t="s">
        <v>374</v>
      </c>
      <c r="E6" s="30">
        <v>400</v>
      </c>
      <c r="F6" s="32" t="s">
        <v>434</v>
      </c>
      <c r="G6" s="32" t="s">
        <v>454</v>
      </c>
      <c r="H6" s="33" t="s">
        <v>560</v>
      </c>
      <c r="I6" s="29"/>
      <c r="J6" s="31" t="s">
        <v>561</v>
      </c>
      <c r="K6" s="36"/>
      <c r="L6" s="38" t="s">
        <v>557</v>
      </c>
      <c r="M6" s="38" t="s">
        <v>454</v>
      </c>
      <c r="N6" s="28" t="s">
        <v>558</v>
      </c>
      <c r="O6" s="31" t="s">
        <v>511</v>
      </c>
      <c r="P6" s="31" t="s">
        <v>512</v>
      </c>
      <c r="Q6" s="40" t="s">
        <v>562</v>
      </c>
      <c r="R6" s="42"/>
      <c r="S6" s="44"/>
      <c r="T6" s="47"/>
      <c r="U6" s="47"/>
      <c r="V6" s="47"/>
      <c r="W6" s="47"/>
      <c r="X6" s="47"/>
      <c r="Y6" s="47"/>
      <c r="Z6" s="47"/>
    </row>
    <row r="7" spans="1:26" ht="12.75" customHeight="1">
      <c r="A7" s="26">
        <v>4</v>
      </c>
      <c r="B7" s="26" t="s">
        <v>363</v>
      </c>
      <c r="C7" s="26">
        <v>40</v>
      </c>
      <c r="D7" s="28" t="s">
        <v>374</v>
      </c>
      <c r="E7" s="30">
        <v>400</v>
      </c>
      <c r="F7" s="32" t="s">
        <v>434</v>
      </c>
      <c r="G7" s="32" t="s">
        <v>454</v>
      </c>
      <c r="H7" s="33" t="s">
        <v>563</v>
      </c>
      <c r="I7" s="29"/>
      <c r="J7" s="31" t="s">
        <v>564</v>
      </c>
      <c r="K7" s="36"/>
      <c r="L7" s="38" t="s">
        <v>557</v>
      </c>
      <c r="M7" s="38" t="s">
        <v>454</v>
      </c>
      <c r="N7" s="28" t="s">
        <v>558</v>
      </c>
      <c r="O7" s="31" t="s">
        <v>568</v>
      </c>
      <c r="P7" s="31" t="s">
        <v>570</v>
      </c>
      <c r="Q7" s="40" t="s">
        <v>572</v>
      </c>
      <c r="R7" s="42"/>
      <c r="S7" s="44"/>
      <c r="T7" s="47"/>
      <c r="U7" s="47"/>
      <c r="V7" s="47"/>
      <c r="W7" s="47"/>
      <c r="X7" s="47"/>
      <c r="Y7" s="47"/>
      <c r="Z7" s="47"/>
    </row>
    <row r="8" spans="1:26" ht="12.75" customHeight="1">
      <c r="A8" s="26">
        <v>4</v>
      </c>
      <c r="B8" s="26" t="s">
        <v>363</v>
      </c>
      <c r="C8" s="26">
        <v>40</v>
      </c>
      <c r="D8" s="28" t="s">
        <v>374</v>
      </c>
      <c r="E8" s="30">
        <v>400</v>
      </c>
      <c r="F8" s="32" t="s">
        <v>434</v>
      </c>
      <c r="G8" s="32" t="s">
        <v>454</v>
      </c>
      <c r="H8" s="33" t="s">
        <v>574</v>
      </c>
      <c r="I8" s="29"/>
      <c r="J8" s="31" t="s">
        <v>575</v>
      </c>
      <c r="K8" s="36"/>
      <c r="L8" s="38" t="s">
        <v>557</v>
      </c>
      <c r="M8" s="38" t="s">
        <v>454</v>
      </c>
      <c r="N8" s="28" t="s">
        <v>558</v>
      </c>
      <c r="O8" s="31" t="s">
        <v>511</v>
      </c>
      <c r="P8" s="31" t="s">
        <v>512</v>
      </c>
      <c r="Q8" s="40" t="s">
        <v>576</v>
      </c>
      <c r="R8" s="42"/>
      <c r="S8" s="44"/>
      <c r="T8" s="47"/>
      <c r="U8" s="47"/>
      <c r="V8" s="47"/>
      <c r="W8" s="47"/>
      <c r="X8" s="47"/>
      <c r="Y8" s="47"/>
      <c r="Z8" s="47"/>
    </row>
    <row r="9" spans="1:26" ht="12.75" customHeight="1">
      <c r="A9" s="26">
        <v>4</v>
      </c>
      <c r="B9" s="26" t="s">
        <v>363</v>
      </c>
      <c r="C9" s="26">
        <v>40</v>
      </c>
      <c r="D9" s="28" t="s">
        <v>374</v>
      </c>
      <c r="E9" s="30">
        <v>400</v>
      </c>
      <c r="F9" s="32" t="s">
        <v>434</v>
      </c>
      <c r="G9" s="32" t="s">
        <v>454</v>
      </c>
      <c r="H9" s="33" t="s">
        <v>578</v>
      </c>
      <c r="I9" s="29" t="s">
        <v>579</v>
      </c>
      <c r="J9" s="31" t="s">
        <v>580</v>
      </c>
      <c r="K9" s="36"/>
      <c r="L9" s="38" t="s">
        <v>489</v>
      </c>
      <c r="M9" s="38" t="s">
        <v>509</v>
      </c>
      <c r="N9" s="28" t="s">
        <v>510</v>
      </c>
      <c r="O9" s="31" t="s">
        <v>511</v>
      </c>
      <c r="P9" s="31" t="s">
        <v>512</v>
      </c>
      <c r="Q9" s="40" t="s">
        <v>532</v>
      </c>
      <c r="R9" s="42" t="s">
        <v>584</v>
      </c>
      <c r="S9" s="44"/>
      <c r="T9" s="47"/>
      <c r="U9" s="47"/>
      <c r="V9" s="47"/>
      <c r="W9" s="47"/>
      <c r="X9" s="47"/>
      <c r="Y9" s="47"/>
      <c r="Z9" s="47"/>
    </row>
    <row r="10" spans="1:26" ht="12.75" customHeight="1">
      <c r="A10" s="26">
        <v>4</v>
      </c>
      <c r="B10" s="26" t="s">
        <v>363</v>
      </c>
      <c r="C10" s="26">
        <v>40</v>
      </c>
      <c r="D10" s="28" t="s">
        <v>374</v>
      </c>
      <c r="E10" s="30">
        <v>400</v>
      </c>
      <c r="F10" s="32" t="s">
        <v>434</v>
      </c>
      <c r="G10" s="32" t="s">
        <v>454</v>
      </c>
      <c r="H10" s="33" t="s">
        <v>590</v>
      </c>
      <c r="I10" s="29" t="s">
        <v>591</v>
      </c>
      <c r="J10" s="31" t="s">
        <v>595</v>
      </c>
      <c r="K10" s="36"/>
      <c r="L10" s="38" t="s">
        <v>529</v>
      </c>
      <c r="M10" s="38" t="s">
        <v>526</v>
      </c>
      <c r="N10" s="28" t="s">
        <v>531</v>
      </c>
      <c r="O10" s="31" t="s">
        <v>511</v>
      </c>
      <c r="P10" s="31" t="s">
        <v>512</v>
      </c>
      <c r="Q10" s="40" t="s">
        <v>600</v>
      </c>
      <c r="R10" s="42" t="s">
        <v>602</v>
      </c>
      <c r="S10" s="44"/>
      <c r="T10" s="47"/>
      <c r="U10" s="47"/>
      <c r="V10" s="47"/>
      <c r="W10" s="47"/>
      <c r="X10" s="47"/>
      <c r="Y10" s="47"/>
      <c r="Z10" s="47"/>
    </row>
    <row r="11" spans="1:26" ht="12.75" customHeight="1">
      <c r="A11" s="26">
        <v>4</v>
      </c>
      <c r="B11" s="26" t="s">
        <v>363</v>
      </c>
      <c r="C11" s="26">
        <v>40</v>
      </c>
      <c r="D11" s="28" t="s">
        <v>374</v>
      </c>
      <c r="E11" s="30">
        <v>400</v>
      </c>
      <c r="F11" s="32" t="s">
        <v>434</v>
      </c>
      <c r="G11" s="32" t="s">
        <v>454</v>
      </c>
      <c r="H11" s="33" t="s">
        <v>609</v>
      </c>
      <c r="I11" s="28" t="s">
        <v>610</v>
      </c>
      <c r="J11" s="34" t="s">
        <v>611</v>
      </c>
      <c r="K11" s="36"/>
      <c r="L11" s="38" t="s">
        <v>489</v>
      </c>
      <c r="M11" s="38" t="s">
        <v>509</v>
      </c>
      <c r="N11" s="28" t="s">
        <v>510</v>
      </c>
      <c r="O11" s="31" t="s">
        <v>511</v>
      </c>
      <c r="P11" s="31" t="s">
        <v>512</v>
      </c>
      <c r="Q11" s="40" t="s">
        <v>614</v>
      </c>
      <c r="R11" s="42"/>
      <c r="S11" s="44"/>
      <c r="T11" s="47"/>
      <c r="U11" s="47"/>
      <c r="V11" s="47"/>
      <c r="W11" s="47"/>
      <c r="X11" s="47"/>
      <c r="Y11" s="47"/>
      <c r="Z11" s="47"/>
    </row>
    <row r="12" spans="1:26" ht="12.75" customHeight="1">
      <c r="A12" s="26">
        <v>4</v>
      </c>
      <c r="B12" s="26" t="s">
        <v>363</v>
      </c>
      <c r="C12" s="26">
        <v>40</v>
      </c>
      <c r="D12" s="28" t="s">
        <v>374</v>
      </c>
      <c r="E12" s="30">
        <v>400</v>
      </c>
      <c r="F12" s="32" t="s">
        <v>434</v>
      </c>
      <c r="G12" s="32" t="s">
        <v>454</v>
      </c>
      <c r="H12" s="33" t="s">
        <v>615</v>
      </c>
      <c r="I12" s="29" t="s">
        <v>616</v>
      </c>
      <c r="J12" s="31" t="s">
        <v>617</v>
      </c>
      <c r="K12" s="36"/>
      <c r="L12" s="38" t="s">
        <v>619</v>
      </c>
      <c r="M12" s="38" t="s">
        <v>621</v>
      </c>
      <c r="N12" s="28" t="s">
        <v>622</v>
      </c>
      <c r="O12" s="31" t="s">
        <v>559</v>
      </c>
      <c r="P12" s="31" t="s">
        <v>625</v>
      </c>
      <c r="Q12" s="40" t="s">
        <v>627</v>
      </c>
      <c r="R12" s="42"/>
      <c r="S12" s="44"/>
      <c r="T12" s="47"/>
      <c r="U12" s="47"/>
      <c r="V12" s="47"/>
      <c r="W12" s="47"/>
      <c r="X12" s="47"/>
      <c r="Y12" s="47"/>
      <c r="Z12" s="47"/>
    </row>
    <row r="13" spans="1:26" ht="12.75" customHeight="1">
      <c r="A13" s="26">
        <v>4</v>
      </c>
      <c r="B13" s="26" t="s">
        <v>363</v>
      </c>
      <c r="C13" s="26">
        <v>40</v>
      </c>
      <c r="D13" s="28" t="s">
        <v>374</v>
      </c>
      <c r="E13" s="30">
        <v>400</v>
      </c>
      <c r="F13" s="32" t="s">
        <v>434</v>
      </c>
      <c r="G13" s="32" t="s">
        <v>454</v>
      </c>
      <c r="H13" s="33" t="s">
        <v>628</v>
      </c>
      <c r="I13" s="28" t="s">
        <v>629</v>
      </c>
      <c r="J13" s="31" t="s">
        <v>630</v>
      </c>
      <c r="K13" s="36"/>
      <c r="L13" s="38" t="s">
        <v>489</v>
      </c>
      <c r="M13" s="38" t="s">
        <v>509</v>
      </c>
      <c r="N13" s="28" t="s">
        <v>510</v>
      </c>
      <c r="O13" s="31" t="s">
        <v>568</v>
      </c>
      <c r="P13" s="31" t="s">
        <v>570</v>
      </c>
      <c r="Q13" s="40" t="s">
        <v>634</v>
      </c>
      <c r="R13" s="42"/>
      <c r="S13" s="44"/>
      <c r="T13" s="47"/>
      <c r="U13" s="47"/>
      <c r="V13" s="47"/>
      <c r="W13" s="47"/>
      <c r="X13" s="47"/>
      <c r="Y13" s="47"/>
      <c r="Z13" s="47"/>
    </row>
    <row r="14" spans="1:26" ht="12.75" customHeight="1">
      <c r="A14" s="26">
        <v>4</v>
      </c>
      <c r="B14" s="26" t="s">
        <v>363</v>
      </c>
      <c r="C14" s="26">
        <v>40</v>
      </c>
      <c r="D14" s="28" t="s">
        <v>374</v>
      </c>
      <c r="E14" s="30">
        <v>400</v>
      </c>
      <c r="F14" s="32" t="s">
        <v>434</v>
      </c>
      <c r="G14" s="32" t="s">
        <v>454</v>
      </c>
      <c r="H14" s="33" t="s">
        <v>637</v>
      </c>
      <c r="I14" s="29" t="s">
        <v>638</v>
      </c>
      <c r="J14" s="31" t="s">
        <v>639</v>
      </c>
      <c r="K14" s="36"/>
      <c r="L14" s="38" t="s">
        <v>640</v>
      </c>
      <c r="M14" s="38" t="s">
        <v>642</v>
      </c>
      <c r="N14" s="28" t="s">
        <v>644</v>
      </c>
      <c r="O14" s="31" t="s">
        <v>568</v>
      </c>
      <c r="P14" s="31" t="s">
        <v>570</v>
      </c>
      <c r="Q14" s="40" t="s">
        <v>634</v>
      </c>
      <c r="R14" s="42"/>
      <c r="S14" s="53"/>
      <c r="T14" s="47"/>
      <c r="U14" s="47"/>
      <c r="V14" s="47"/>
      <c r="W14" s="47"/>
      <c r="X14" s="47"/>
      <c r="Y14" s="47"/>
      <c r="Z14" s="47"/>
    </row>
    <row r="15" spans="1:26" ht="12.75" customHeight="1">
      <c r="A15" s="26">
        <v>4</v>
      </c>
      <c r="B15" s="26" t="s">
        <v>363</v>
      </c>
      <c r="C15" s="26">
        <v>41</v>
      </c>
      <c r="D15" s="29" t="s">
        <v>672</v>
      </c>
      <c r="E15" s="30">
        <v>411</v>
      </c>
      <c r="F15" s="32" t="s">
        <v>675</v>
      </c>
      <c r="G15" s="56" t="s">
        <v>677</v>
      </c>
      <c r="H15" s="33" t="s">
        <v>745</v>
      </c>
      <c r="I15" s="29"/>
      <c r="J15" s="31" t="s">
        <v>748</v>
      </c>
      <c r="K15" s="36"/>
      <c r="L15" s="38" t="s">
        <v>750</v>
      </c>
      <c r="M15" s="38" t="s">
        <v>752</v>
      </c>
      <c r="N15" s="28" t="s">
        <v>754</v>
      </c>
      <c r="O15" s="31" t="s">
        <v>759</v>
      </c>
      <c r="P15" s="31" t="s">
        <v>761</v>
      </c>
      <c r="Q15" s="40" t="s">
        <v>763</v>
      </c>
      <c r="R15" s="42"/>
      <c r="S15" s="53"/>
      <c r="T15" s="47"/>
      <c r="U15" s="47"/>
      <c r="V15" s="47"/>
      <c r="W15" s="47"/>
      <c r="X15" s="47"/>
      <c r="Y15" s="47"/>
      <c r="Z15" s="47"/>
    </row>
    <row r="16" spans="1:26" ht="12.75" customHeight="1">
      <c r="A16" s="26">
        <v>4</v>
      </c>
      <c r="B16" s="26" t="s">
        <v>363</v>
      </c>
      <c r="C16" s="26">
        <v>41</v>
      </c>
      <c r="D16" s="29" t="s">
        <v>672</v>
      </c>
      <c r="E16" s="30">
        <v>411</v>
      </c>
      <c r="F16" s="32" t="s">
        <v>675</v>
      </c>
      <c r="G16" s="56" t="s">
        <v>677</v>
      </c>
      <c r="H16" s="66" t="s">
        <v>772</v>
      </c>
      <c r="I16" s="29"/>
      <c r="J16" s="31" t="s">
        <v>873</v>
      </c>
      <c r="K16" s="36"/>
      <c r="L16" s="38" t="s">
        <v>722</v>
      </c>
      <c r="M16" s="38" t="s">
        <v>724</v>
      </c>
      <c r="N16" s="28" t="s">
        <v>726</v>
      </c>
      <c r="O16" s="31" t="s">
        <v>759</v>
      </c>
      <c r="P16" s="31" t="s">
        <v>881</v>
      </c>
      <c r="Q16" s="40" t="s">
        <v>882</v>
      </c>
      <c r="R16" s="42"/>
      <c r="S16" s="53"/>
      <c r="T16" s="47"/>
      <c r="U16" s="47"/>
      <c r="V16" s="47"/>
      <c r="W16" s="47"/>
      <c r="X16" s="47"/>
      <c r="Y16" s="47"/>
      <c r="Z16" s="47"/>
    </row>
    <row r="17" spans="1:26" ht="12.75" customHeight="1">
      <c r="A17" s="26">
        <v>4</v>
      </c>
      <c r="B17" s="26" t="s">
        <v>363</v>
      </c>
      <c r="C17" s="26">
        <v>41</v>
      </c>
      <c r="D17" s="29" t="s">
        <v>672</v>
      </c>
      <c r="E17" s="30">
        <v>411</v>
      </c>
      <c r="F17" s="32" t="s">
        <v>675</v>
      </c>
      <c r="G17" s="56" t="s">
        <v>677</v>
      </c>
      <c r="H17" s="66" t="s">
        <v>888</v>
      </c>
      <c r="I17" s="29" t="s">
        <v>890</v>
      </c>
      <c r="J17" s="31" t="s">
        <v>891</v>
      </c>
      <c r="K17" s="36"/>
      <c r="L17" s="38" t="s">
        <v>893</v>
      </c>
      <c r="M17" s="38" t="s">
        <v>895</v>
      </c>
      <c r="N17" s="28" t="s">
        <v>896</v>
      </c>
      <c r="O17" s="31" t="s">
        <v>897</v>
      </c>
      <c r="P17" s="31" t="s">
        <v>898</v>
      </c>
      <c r="Q17" s="40" t="s">
        <v>573</v>
      </c>
      <c r="R17" s="42"/>
      <c r="S17" s="53"/>
      <c r="T17" s="47"/>
      <c r="U17" s="47"/>
      <c r="V17" s="47"/>
      <c r="W17" s="47"/>
      <c r="X17" s="47"/>
      <c r="Y17" s="47"/>
      <c r="Z17" s="47"/>
    </row>
    <row r="18" spans="1:26" ht="12.75" customHeight="1">
      <c r="A18" s="26">
        <v>4</v>
      </c>
      <c r="B18" s="26" t="s">
        <v>363</v>
      </c>
      <c r="C18" s="26">
        <v>41</v>
      </c>
      <c r="D18" s="29" t="s">
        <v>672</v>
      </c>
      <c r="E18" s="30">
        <v>411</v>
      </c>
      <c r="F18" s="32" t="s">
        <v>675</v>
      </c>
      <c r="G18" s="56" t="s">
        <v>677</v>
      </c>
      <c r="H18" s="66" t="s">
        <v>900</v>
      </c>
      <c r="I18" s="28" t="s">
        <v>902</v>
      </c>
      <c r="J18" s="31" t="s">
        <v>891</v>
      </c>
      <c r="K18" s="36"/>
      <c r="L18" s="38" t="s">
        <v>893</v>
      </c>
      <c r="M18" s="38" t="s">
        <v>895</v>
      </c>
      <c r="N18" s="28" t="s">
        <v>896</v>
      </c>
      <c r="O18" s="31" t="s">
        <v>897</v>
      </c>
      <c r="P18" s="31" t="s">
        <v>898</v>
      </c>
      <c r="Q18" s="40" t="s">
        <v>916</v>
      </c>
      <c r="R18" s="42"/>
      <c r="S18" s="53"/>
      <c r="T18" s="47"/>
      <c r="U18" s="47"/>
      <c r="V18" s="47"/>
      <c r="W18" s="47"/>
      <c r="X18" s="47"/>
      <c r="Y18" s="47"/>
      <c r="Z18" s="47"/>
    </row>
    <row r="19" spans="1:26" ht="12.75" customHeight="1">
      <c r="A19" s="26">
        <v>4</v>
      </c>
      <c r="B19" s="26" t="s">
        <v>363</v>
      </c>
      <c r="C19" s="26">
        <v>41</v>
      </c>
      <c r="D19" s="29" t="s">
        <v>672</v>
      </c>
      <c r="E19" s="30">
        <v>411</v>
      </c>
      <c r="F19" s="32" t="s">
        <v>675</v>
      </c>
      <c r="G19" s="56" t="s">
        <v>677</v>
      </c>
      <c r="H19" s="66" t="s">
        <v>941</v>
      </c>
      <c r="I19" s="28" t="s">
        <v>943</v>
      </c>
      <c r="J19" s="31" t="s">
        <v>891</v>
      </c>
      <c r="K19" s="36"/>
      <c r="L19" s="38" t="s">
        <v>893</v>
      </c>
      <c r="M19" s="38" t="s">
        <v>895</v>
      </c>
      <c r="N19" s="28" t="s">
        <v>896</v>
      </c>
      <c r="O19" s="31" t="s">
        <v>897</v>
      </c>
      <c r="P19" s="31" t="s">
        <v>898</v>
      </c>
      <c r="Q19" s="40" t="s">
        <v>969</v>
      </c>
      <c r="R19" s="42"/>
      <c r="S19" s="53"/>
      <c r="T19" s="47"/>
      <c r="U19" s="47"/>
      <c r="V19" s="47"/>
      <c r="W19" s="47"/>
      <c r="X19" s="47"/>
      <c r="Y19" s="47"/>
      <c r="Z19" s="47"/>
    </row>
    <row r="20" spans="1:26" ht="12.75" customHeight="1">
      <c r="A20" s="26">
        <v>4</v>
      </c>
      <c r="B20" s="26" t="s">
        <v>363</v>
      </c>
      <c r="C20" s="26">
        <v>41</v>
      </c>
      <c r="D20" s="29" t="s">
        <v>672</v>
      </c>
      <c r="E20" s="30">
        <v>411</v>
      </c>
      <c r="F20" s="32" t="s">
        <v>675</v>
      </c>
      <c r="G20" s="56" t="s">
        <v>677</v>
      </c>
      <c r="H20" s="66" t="s">
        <v>978</v>
      </c>
      <c r="I20" s="28" t="s">
        <v>979</v>
      </c>
      <c r="J20" s="31" t="s">
        <v>891</v>
      </c>
      <c r="K20" s="36"/>
      <c r="L20" s="38" t="s">
        <v>893</v>
      </c>
      <c r="M20" s="38" t="s">
        <v>895</v>
      </c>
      <c r="N20" s="28" t="s">
        <v>896</v>
      </c>
      <c r="O20" s="31" t="s">
        <v>897</v>
      </c>
      <c r="P20" s="31" t="s">
        <v>898</v>
      </c>
      <c r="Q20" s="40" t="s">
        <v>981</v>
      </c>
      <c r="R20" s="42"/>
      <c r="S20" s="53"/>
      <c r="T20" s="47"/>
      <c r="U20" s="47"/>
      <c r="V20" s="47"/>
      <c r="W20" s="47"/>
      <c r="X20" s="47"/>
      <c r="Y20" s="47"/>
      <c r="Z20" s="47"/>
    </row>
    <row r="21" spans="1:26" ht="12.75" customHeight="1">
      <c r="A21" s="26">
        <v>4</v>
      </c>
      <c r="B21" s="26" t="s">
        <v>363</v>
      </c>
      <c r="C21" s="26">
        <v>41</v>
      </c>
      <c r="D21" s="29" t="s">
        <v>672</v>
      </c>
      <c r="E21" s="30">
        <v>411</v>
      </c>
      <c r="F21" s="32" t="s">
        <v>675</v>
      </c>
      <c r="G21" s="56" t="s">
        <v>677</v>
      </c>
      <c r="H21" s="66" t="s">
        <v>1011</v>
      </c>
      <c r="I21" s="29"/>
      <c r="J21" s="34" t="s">
        <v>1013</v>
      </c>
      <c r="K21" s="36"/>
      <c r="L21" s="38" t="s">
        <v>893</v>
      </c>
      <c r="M21" s="38" t="s">
        <v>895</v>
      </c>
      <c r="N21" s="28" t="s">
        <v>896</v>
      </c>
      <c r="O21" s="31" t="s">
        <v>1014</v>
      </c>
      <c r="P21" s="31" t="s">
        <v>1015</v>
      </c>
      <c r="Q21" s="40" t="s">
        <v>1016</v>
      </c>
      <c r="R21" s="42"/>
      <c r="S21" s="53"/>
      <c r="T21" s="47"/>
      <c r="U21" s="47"/>
      <c r="V21" s="47"/>
      <c r="W21" s="47"/>
      <c r="X21" s="47"/>
      <c r="Y21" s="47"/>
      <c r="Z21" s="47"/>
    </row>
    <row r="22" spans="1:26" ht="12.75" customHeight="1">
      <c r="A22" s="26">
        <v>4</v>
      </c>
      <c r="B22" s="26" t="s">
        <v>363</v>
      </c>
      <c r="C22" s="26">
        <v>41</v>
      </c>
      <c r="D22" s="29" t="s">
        <v>672</v>
      </c>
      <c r="E22" s="30">
        <v>411</v>
      </c>
      <c r="F22" s="32" t="s">
        <v>675</v>
      </c>
      <c r="G22" s="56" t="s">
        <v>677</v>
      </c>
      <c r="H22" s="66" t="s">
        <v>1017</v>
      </c>
      <c r="I22" s="29"/>
      <c r="J22" s="34" t="s">
        <v>1018</v>
      </c>
      <c r="K22" s="36"/>
      <c r="L22" s="38" t="s">
        <v>893</v>
      </c>
      <c r="M22" s="38" t="s">
        <v>895</v>
      </c>
      <c r="N22" s="28" t="s">
        <v>896</v>
      </c>
      <c r="O22" s="31" t="s">
        <v>759</v>
      </c>
      <c r="P22" s="31" t="s">
        <v>761</v>
      </c>
      <c r="Q22" s="40" t="s">
        <v>1036</v>
      </c>
      <c r="R22" s="42"/>
      <c r="S22" s="53"/>
      <c r="T22" s="47"/>
      <c r="U22" s="47"/>
      <c r="V22" s="47"/>
      <c r="W22" s="47"/>
      <c r="X22" s="47"/>
      <c r="Y22" s="47"/>
      <c r="Z22" s="47"/>
    </row>
    <row r="23" spans="1:26" ht="12.75" customHeight="1">
      <c r="A23" s="26">
        <v>4</v>
      </c>
      <c r="B23" s="26" t="s">
        <v>363</v>
      </c>
      <c r="C23" s="26">
        <v>41</v>
      </c>
      <c r="D23" s="29" t="s">
        <v>672</v>
      </c>
      <c r="E23" s="30">
        <v>411</v>
      </c>
      <c r="F23" s="32" t="s">
        <v>675</v>
      </c>
      <c r="G23" s="56" t="s">
        <v>677</v>
      </c>
      <c r="H23" s="33" t="s">
        <v>1039</v>
      </c>
      <c r="I23" s="29"/>
      <c r="J23" s="31" t="s">
        <v>1040</v>
      </c>
      <c r="K23" s="36"/>
      <c r="L23" s="38" t="s">
        <v>750</v>
      </c>
      <c r="M23" s="38" t="s">
        <v>752</v>
      </c>
      <c r="N23" s="28" t="s">
        <v>754</v>
      </c>
      <c r="O23" s="31" t="s">
        <v>759</v>
      </c>
      <c r="P23" s="31" t="s">
        <v>761</v>
      </c>
      <c r="Q23" s="40" t="s">
        <v>763</v>
      </c>
      <c r="R23" s="42"/>
      <c r="S23" s="53"/>
      <c r="T23" s="47"/>
      <c r="U23" s="47"/>
      <c r="V23" s="47"/>
      <c r="W23" s="47"/>
      <c r="X23" s="47"/>
      <c r="Y23" s="47"/>
      <c r="Z23" s="47"/>
    </row>
    <row r="24" spans="1:26" ht="12.75" customHeight="1">
      <c r="A24" s="26">
        <v>4</v>
      </c>
      <c r="B24" s="26" t="s">
        <v>363</v>
      </c>
      <c r="C24" s="26">
        <v>41</v>
      </c>
      <c r="D24" s="29" t="s">
        <v>672</v>
      </c>
      <c r="E24" s="30">
        <v>411</v>
      </c>
      <c r="F24" s="32" t="s">
        <v>675</v>
      </c>
      <c r="G24" s="56" t="s">
        <v>677</v>
      </c>
      <c r="H24" s="33" t="s">
        <v>1046</v>
      </c>
      <c r="I24" s="29"/>
      <c r="J24" s="31" t="s">
        <v>1047</v>
      </c>
      <c r="K24" s="36" t="s">
        <v>1048</v>
      </c>
      <c r="L24" s="38" t="s">
        <v>893</v>
      </c>
      <c r="M24" s="38" t="s">
        <v>895</v>
      </c>
      <c r="N24" s="28" t="s">
        <v>896</v>
      </c>
      <c r="O24" s="31" t="s">
        <v>759</v>
      </c>
      <c r="P24" s="31" t="s">
        <v>761</v>
      </c>
      <c r="Q24" s="40" t="s">
        <v>1036</v>
      </c>
      <c r="R24" s="42"/>
      <c r="S24" s="53"/>
      <c r="T24" s="47"/>
      <c r="U24" s="47"/>
      <c r="V24" s="47"/>
      <c r="W24" s="47"/>
      <c r="X24" s="47"/>
      <c r="Y24" s="47"/>
      <c r="Z24" s="47"/>
    </row>
    <row r="25" spans="1:26" ht="12.75" customHeight="1">
      <c r="A25" s="26">
        <v>4</v>
      </c>
      <c r="B25" s="26" t="s">
        <v>363</v>
      </c>
      <c r="C25" s="26">
        <v>41</v>
      </c>
      <c r="D25" s="29" t="s">
        <v>672</v>
      </c>
      <c r="E25" s="30">
        <v>411</v>
      </c>
      <c r="F25" s="32" t="s">
        <v>675</v>
      </c>
      <c r="G25" s="56" t="s">
        <v>677</v>
      </c>
      <c r="H25" s="33" t="s">
        <v>1088</v>
      </c>
      <c r="I25" s="29"/>
      <c r="J25" s="31" t="s">
        <v>1089</v>
      </c>
      <c r="K25" s="36"/>
      <c r="L25" s="38" t="s">
        <v>750</v>
      </c>
      <c r="M25" s="38" t="s">
        <v>752</v>
      </c>
      <c r="N25" s="28" t="s">
        <v>754</v>
      </c>
      <c r="O25" s="31" t="s">
        <v>759</v>
      </c>
      <c r="P25" s="31" t="s">
        <v>761</v>
      </c>
      <c r="Q25" s="40" t="s">
        <v>1099</v>
      </c>
      <c r="R25" s="42"/>
      <c r="S25" s="53"/>
      <c r="T25" s="47"/>
      <c r="U25" s="47"/>
      <c r="V25" s="47"/>
      <c r="W25" s="47"/>
      <c r="X25" s="47"/>
      <c r="Y25" s="47"/>
      <c r="Z25" s="47"/>
    </row>
    <row r="26" spans="1:26" ht="12.75" customHeight="1">
      <c r="A26" s="26">
        <v>4</v>
      </c>
      <c r="B26" s="26" t="s">
        <v>363</v>
      </c>
      <c r="C26" s="26">
        <v>41</v>
      </c>
      <c r="D26" s="29" t="s">
        <v>672</v>
      </c>
      <c r="E26" s="30">
        <v>411</v>
      </c>
      <c r="F26" s="32" t="s">
        <v>675</v>
      </c>
      <c r="G26" s="56" t="s">
        <v>677</v>
      </c>
      <c r="H26" s="66" t="s">
        <v>1102</v>
      </c>
      <c r="I26" s="29" t="s">
        <v>1103</v>
      </c>
      <c r="J26" s="34" t="s">
        <v>1104</v>
      </c>
      <c r="K26" s="36"/>
      <c r="L26" s="38" t="s">
        <v>893</v>
      </c>
      <c r="M26" s="38" t="s">
        <v>895</v>
      </c>
      <c r="N26" s="28" t="s">
        <v>896</v>
      </c>
      <c r="O26" s="31" t="s">
        <v>759</v>
      </c>
      <c r="P26" s="31" t="s">
        <v>761</v>
      </c>
      <c r="Q26" s="40" t="s">
        <v>1036</v>
      </c>
      <c r="R26" s="42"/>
      <c r="S26" s="53"/>
      <c r="T26" s="47"/>
      <c r="U26" s="47"/>
      <c r="V26" s="47"/>
      <c r="W26" s="47"/>
      <c r="X26" s="47"/>
      <c r="Y26" s="47"/>
      <c r="Z26" s="47"/>
    </row>
    <row r="27" spans="1:26" ht="12.75" customHeight="1">
      <c r="A27" s="26">
        <v>4</v>
      </c>
      <c r="B27" s="26" t="s">
        <v>363</v>
      </c>
      <c r="C27" s="26">
        <v>41</v>
      </c>
      <c r="D27" s="29" t="s">
        <v>672</v>
      </c>
      <c r="E27" s="30">
        <v>411</v>
      </c>
      <c r="F27" s="32" t="s">
        <v>675</v>
      </c>
      <c r="G27" s="56" t="s">
        <v>677</v>
      </c>
      <c r="H27" s="66" t="s">
        <v>1109</v>
      </c>
      <c r="I27" s="29"/>
      <c r="J27" s="34" t="s">
        <v>1111</v>
      </c>
      <c r="K27" s="36"/>
      <c r="L27" s="38" t="s">
        <v>893</v>
      </c>
      <c r="M27" s="38" t="s">
        <v>895</v>
      </c>
      <c r="N27" s="28" t="s">
        <v>896</v>
      </c>
      <c r="O27" s="31" t="s">
        <v>759</v>
      </c>
      <c r="P27" s="31" t="s">
        <v>761</v>
      </c>
      <c r="Q27" s="40" t="s">
        <v>1036</v>
      </c>
      <c r="R27" s="42"/>
      <c r="S27" s="53"/>
      <c r="T27" s="47"/>
      <c r="U27" s="47"/>
      <c r="V27" s="47"/>
      <c r="W27" s="47"/>
      <c r="X27" s="47"/>
      <c r="Y27" s="47"/>
      <c r="Z27" s="47"/>
    </row>
    <row r="28" spans="1:26" ht="12.75" customHeight="1">
      <c r="A28" s="26">
        <v>4</v>
      </c>
      <c r="B28" s="26" t="s">
        <v>363</v>
      </c>
      <c r="C28" s="26">
        <v>41</v>
      </c>
      <c r="D28" s="29" t="s">
        <v>672</v>
      </c>
      <c r="E28" s="30">
        <v>411</v>
      </c>
      <c r="F28" s="32" t="s">
        <v>675</v>
      </c>
      <c r="G28" s="56" t="s">
        <v>677</v>
      </c>
      <c r="H28" s="66" t="s">
        <v>1123</v>
      </c>
      <c r="I28" s="29"/>
      <c r="J28" s="34" t="s">
        <v>1124</v>
      </c>
      <c r="K28" s="36"/>
      <c r="L28" s="38" t="s">
        <v>893</v>
      </c>
      <c r="M28" s="38" t="s">
        <v>895</v>
      </c>
      <c r="N28" s="28" t="s">
        <v>896</v>
      </c>
      <c r="O28" s="31" t="s">
        <v>759</v>
      </c>
      <c r="P28" s="31" t="s">
        <v>761</v>
      </c>
      <c r="Q28" s="40" t="s">
        <v>1036</v>
      </c>
      <c r="R28" s="42"/>
      <c r="S28" s="53"/>
      <c r="T28" s="47"/>
      <c r="U28" s="47"/>
      <c r="V28" s="47"/>
      <c r="W28" s="47"/>
      <c r="X28" s="47"/>
      <c r="Y28" s="47"/>
      <c r="Z28" s="47"/>
    </row>
    <row r="29" spans="1:26" ht="12.75" customHeight="1">
      <c r="A29" s="26">
        <v>4</v>
      </c>
      <c r="B29" s="26" t="s">
        <v>363</v>
      </c>
      <c r="C29" s="26">
        <v>41</v>
      </c>
      <c r="D29" s="29" t="s">
        <v>672</v>
      </c>
      <c r="E29" s="30">
        <v>411</v>
      </c>
      <c r="F29" s="32" t="s">
        <v>675</v>
      </c>
      <c r="G29" s="56" t="s">
        <v>677</v>
      </c>
      <c r="H29" s="66" t="s">
        <v>1133</v>
      </c>
      <c r="I29" s="29"/>
      <c r="J29" s="34" t="s">
        <v>1134</v>
      </c>
      <c r="K29" s="36"/>
      <c r="L29" s="38" t="s">
        <v>1135</v>
      </c>
      <c r="M29" s="38" t="s">
        <v>1137</v>
      </c>
      <c r="N29" s="28" t="s">
        <v>1139</v>
      </c>
      <c r="O29" s="31" t="s">
        <v>1140</v>
      </c>
      <c r="P29" s="31" t="s">
        <v>1141</v>
      </c>
      <c r="Q29" s="40" t="s">
        <v>1142</v>
      </c>
      <c r="R29" s="42"/>
      <c r="S29" s="53"/>
      <c r="T29" s="47"/>
      <c r="U29" s="47"/>
      <c r="V29" s="47"/>
      <c r="W29" s="47"/>
      <c r="X29" s="47"/>
      <c r="Y29" s="47"/>
      <c r="Z29" s="47"/>
    </row>
    <row r="30" spans="1:26" ht="12.75" customHeight="1">
      <c r="A30" s="26">
        <v>4</v>
      </c>
      <c r="B30" s="26" t="s">
        <v>363</v>
      </c>
      <c r="C30" s="26">
        <v>41</v>
      </c>
      <c r="D30" s="29" t="s">
        <v>672</v>
      </c>
      <c r="E30" s="30">
        <v>411</v>
      </c>
      <c r="F30" s="32" t="s">
        <v>675</v>
      </c>
      <c r="G30" s="56" t="s">
        <v>677</v>
      </c>
      <c r="H30" s="33" t="s">
        <v>1170</v>
      </c>
      <c r="I30" s="29" t="s">
        <v>1171</v>
      </c>
      <c r="J30" s="31" t="s">
        <v>1172</v>
      </c>
      <c r="K30" s="36"/>
      <c r="L30" s="38" t="s">
        <v>893</v>
      </c>
      <c r="M30" s="38" t="s">
        <v>895</v>
      </c>
      <c r="N30" s="28" t="s">
        <v>896</v>
      </c>
      <c r="O30" s="31" t="s">
        <v>759</v>
      </c>
      <c r="P30" s="31" t="s">
        <v>761</v>
      </c>
      <c r="Q30" s="40" t="s">
        <v>1036</v>
      </c>
      <c r="R30" s="42"/>
      <c r="S30" s="53"/>
      <c r="T30" s="47"/>
      <c r="U30" s="47"/>
      <c r="V30" s="47"/>
      <c r="W30" s="47"/>
      <c r="X30" s="47"/>
      <c r="Y30" s="47"/>
      <c r="Z30" s="47"/>
    </row>
    <row r="31" spans="1:26" ht="12.75" customHeight="1">
      <c r="A31" s="26">
        <v>4</v>
      </c>
      <c r="B31" s="26" t="s">
        <v>363</v>
      </c>
      <c r="C31" s="26">
        <v>41</v>
      </c>
      <c r="D31" s="29" t="s">
        <v>672</v>
      </c>
      <c r="E31" s="30">
        <v>411</v>
      </c>
      <c r="F31" s="32" t="s">
        <v>675</v>
      </c>
      <c r="G31" s="56" t="s">
        <v>677</v>
      </c>
      <c r="H31" s="33" t="s">
        <v>1182</v>
      </c>
      <c r="I31" s="29"/>
      <c r="J31" s="31" t="s">
        <v>1185</v>
      </c>
      <c r="K31" s="36"/>
      <c r="L31" s="38" t="s">
        <v>1206</v>
      </c>
      <c r="M31" s="38" t="s">
        <v>1207</v>
      </c>
      <c r="N31" s="29" t="s">
        <v>1208</v>
      </c>
      <c r="O31" s="31" t="s">
        <v>1209</v>
      </c>
      <c r="P31" s="31" t="s">
        <v>881</v>
      </c>
      <c r="Q31" s="40" t="s">
        <v>882</v>
      </c>
      <c r="R31" s="42"/>
      <c r="S31" s="53"/>
      <c r="T31" s="47"/>
      <c r="U31" s="47"/>
      <c r="V31" s="47"/>
      <c r="W31" s="47"/>
      <c r="X31" s="47"/>
      <c r="Y31" s="47"/>
      <c r="Z31" s="47"/>
    </row>
    <row r="32" spans="1:26" ht="12.75" customHeight="1">
      <c r="A32" s="26">
        <v>4</v>
      </c>
      <c r="B32" s="26" t="s">
        <v>363</v>
      </c>
      <c r="C32" s="26">
        <v>41</v>
      </c>
      <c r="D32" s="29" t="s">
        <v>672</v>
      </c>
      <c r="E32" s="30">
        <v>411</v>
      </c>
      <c r="F32" s="32" t="s">
        <v>675</v>
      </c>
      <c r="G32" s="56" t="s">
        <v>677</v>
      </c>
      <c r="H32" s="33" t="s">
        <v>1220</v>
      </c>
      <c r="I32" s="29"/>
      <c r="J32" s="31" t="s">
        <v>1221</v>
      </c>
      <c r="K32" s="36"/>
      <c r="L32" s="38" t="s">
        <v>722</v>
      </c>
      <c r="M32" s="38" t="s">
        <v>724</v>
      </c>
      <c r="N32" s="28" t="s">
        <v>726</v>
      </c>
      <c r="O32" s="31" t="s">
        <v>1209</v>
      </c>
      <c r="P32" s="31" t="s">
        <v>881</v>
      </c>
      <c r="Q32" s="40" t="s">
        <v>882</v>
      </c>
      <c r="R32" s="42" t="s">
        <v>1225</v>
      </c>
      <c r="S32" s="53"/>
      <c r="T32" s="47"/>
      <c r="U32" s="47"/>
      <c r="V32" s="47"/>
      <c r="W32" s="47"/>
      <c r="X32" s="47"/>
      <c r="Y32" s="47"/>
      <c r="Z32" s="47"/>
    </row>
    <row r="33" spans="1:26" ht="12.75" customHeight="1">
      <c r="A33" s="26">
        <v>4</v>
      </c>
      <c r="B33" s="26" t="s">
        <v>363</v>
      </c>
      <c r="C33" s="26">
        <v>41</v>
      </c>
      <c r="D33" s="29" t="s">
        <v>672</v>
      </c>
      <c r="E33" s="30">
        <v>412</v>
      </c>
      <c r="F33" s="32" t="s">
        <v>1230</v>
      </c>
      <c r="G33" s="56" t="s">
        <v>1232</v>
      </c>
      <c r="H33" s="33" t="s">
        <v>1233</v>
      </c>
      <c r="I33" s="29"/>
      <c r="J33" s="31" t="s">
        <v>1234</v>
      </c>
      <c r="K33" s="36"/>
      <c r="L33" s="38" t="s">
        <v>1236</v>
      </c>
      <c r="M33" s="38" t="s">
        <v>1237</v>
      </c>
      <c r="N33" s="28" t="s">
        <v>1239</v>
      </c>
      <c r="O33" s="31" t="s">
        <v>1240</v>
      </c>
      <c r="P33" s="31" t="s">
        <v>1241</v>
      </c>
      <c r="Q33" s="40" t="s">
        <v>1242</v>
      </c>
      <c r="R33" s="42"/>
      <c r="S33" s="53"/>
      <c r="T33" s="47"/>
      <c r="U33" s="47"/>
      <c r="V33" s="47"/>
      <c r="W33" s="47"/>
      <c r="X33" s="47"/>
      <c r="Y33" s="47"/>
      <c r="Z33" s="47"/>
    </row>
    <row r="34" spans="1:26" ht="12.75" customHeight="1">
      <c r="A34" s="26">
        <v>4</v>
      </c>
      <c r="B34" s="26" t="s">
        <v>363</v>
      </c>
      <c r="C34" s="26">
        <v>41</v>
      </c>
      <c r="D34" s="29" t="s">
        <v>672</v>
      </c>
      <c r="E34" s="30">
        <v>412</v>
      </c>
      <c r="F34" s="32" t="s">
        <v>1230</v>
      </c>
      <c r="G34" s="56" t="s">
        <v>1232</v>
      </c>
      <c r="H34" s="66" t="s">
        <v>1253</v>
      </c>
      <c r="I34" s="29" t="s">
        <v>1255</v>
      </c>
      <c r="J34" s="34" t="s">
        <v>1256</v>
      </c>
      <c r="K34" s="36"/>
      <c r="L34" s="38"/>
      <c r="M34" s="38"/>
      <c r="N34" s="29"/>
      <c r="O34" s="31" t="s">
        <v>1259</v>
      </c>
      <c r="P34" s="31" t="s">
        <v>1260</v>
      </c>
      <c r="Q34" s="40" t="s">
        <v>1265</v>
      </c>
      <c r="R34" s="42"/>
      <c r="S34" s="53"/>
      <c r="T34" s="47"/>
      <c r="U34" s="47"/>
      <c r="V34" s="47"/>
      <c r="W34" s="47"/>
      <c r="X34" s="47"/>
      <c r="Y34" s="47"/>
      <c r="Z34" s="47"/>
    </row>
    <row r="35" spans="1:26" ht="12.75" customHeight="1">
      <c r="A35" s="26">
        <v>4</v>
      </c>
      <c r="B35" s="26" t="s">
        <v>363</v>
      </c>
      <c r="C35" s="26">
        <v>41</v>
      </c>
      <c r="D35" s="29" t="s">
        <v>672</v>
      </c>
      <c r="E35" s="30">
        <v>412</v>
      </c>
      <c r="F35" s="32"/>
      <c r="G35" s="32"/>
      <c r="H35" s="33" t="s">
        <v>1273</v>
      </c>
      <c r="I35" s="29"/>
      <c r="J35" s="31"/>
      <c r="K35" s="36"/>
      <c r="L35" s="38" t="s">
        <v>1275</v>
      </c>
      <c r="M35" s="38" t="s">
        <v>1276</v>
      </c>
      <c r="N35" s="28" t="s">
        <v>1277</v>
      </c>
      <c r="O35" s="31" t="s">
        <v>1209</v>
      </c>
      <c r="P35" s="31"/>
      <c r="Q35" s="40"/>
      <c r="R35" s="42"/>
      <c r="S35" s="53"/>
      <c r="T35" s="47"/>
      <c r="U35" s="47"/>
      <c r="V35" s="47"/>
      <c r="W35" s="47"/>
      <c r="X35" s="47"/>
      <c r="Y35" s="47"/>
      <c r="Z35" s="47"/>
    </row>
    <row r="36" spans="1:26" ht="12.75" customHeight="1">
      <c r="A36" s="26">
        <v>4</v>
      </c>
      <c r="B36" s="26" t="s">
        <v>363</v>
      </c>
      <c r="C36" s="26">
        <v>41</v>
      </c>
      <c r="D36" s="29" t="s">
        <v>672</v>
      </c>
      <c r="E36" s="30">
        <v>412</v>
      </c>
      <c r="F36" s="32" t="s">
        <v>1230</v>
      </c>
      <c r="G36" s="56" t="s">
        <v>1232</v>
      </c>
      <c r="H36" s="33" t="s">
        <v>1278</v>
      </c>
      <c r="I36" s="29"/>
      <c r="J36" s="34" t="s">
        <v>1279</v>
      </c>
      <c r="K36" s="36"/>
      <c r="L36" s="38" t="s">
        <v>1280</v>
      </c>
      <c r="M36" s="38" t="s">
        <v>1281</v>
      </c>
      <c r="N36" s="28" t="s">
        <v>1282</v>
      </c>
      <c r="O36" s="31" t="s">
        <v>1209</v>
      </c>
      <c r="P36" s="31"/>
      <c r="Q36" s="40"/>
      <c r="R36" s="42"/>
      <c r="S36" s="53"/>
      <c r="T36" s="47"/>
      <c r="U36" s="47"/>
      <c r="V36" s="47"/>
      <c r="W36" s="47"/>
      <c r="X36" s="47"/>
      <c r="Y36" s="47"/>
      <c r="Z36" s="47"/>
    </row>
    <row r="37" spans="1:26" ht="12.75" customHeight="1">
      <c r="A37" s="26">
        <v>4</v>
      </c>
      <c r="B37" s="26" t="s">
        <v>363</v>
      </c>
      <c r="C37" s="26">
        <v>41</v>
      </c>
      <c r="D37" s="29" t="s">
        <v>672</v>
      </c>
      <c r="E37" s="30">
        <v>412</v>
      </c>
      <c r="F37" s="32" t="s">
        <v>1230</v>
      </c>
      <c r="G37" s="56" t="s">
        <v>1232</v>
      </c>
      <c r="H37" s="33" t="s">
        <v>1284</v>
      </c>
      <c r="I37" s="29"/>
      <c r="J37" s="31" t="s">
        <v>1287</v>
      </c>
      <c r="K37" s="36"/>
      <c r="L37" s="38" t="s">
        <v>1280</v>
      </c>
      <c r="M37" s="38" t="s">
        <v>1281</v>
      </c>
      <c r="N37" s="28" t="s">
        <v>1282</v>
      </c>
      <c r="O37" s="31" t="s">
        <v>1209</v>
      </c>
      <c r="P37" s="31" t="s">
        <v>881</v>
      </c>
      <c r="Q37" s="40" t="s">
        <v>1288</v>
      </c>
      <c r="R37" s="42"/>
      <c r="S37" s="53"/>
      <c r="T37" s="47"/>
      <c r="U37" s="47"/>
      <c r="V37" s="47"/>
      <c r="W37" s="47"/>
      <c r="X37" s="47"/>
      <c r="Y37" s="47"/>
      <c r="Z37" s="47"/>
    </row>
    <row r="38" spans="1:26" ht="12.75" customHeight="1">
      <c r="A38" s="26">
        <v>4</v>
      </c>
      <c r="B38" s="26" t="s">
        <v>363</v>
      </c>
      <c r="C38" s="26">
        <v>41</v>
      </c>
      <c r="D38" s="29" t="s">
        <v>672</v>
      </c>
      <c r="E38" s="30">
        <v>412</v>
      </c>
      <c r="F38" s="32" t="s">
        <v>1230</v>
      </c>
      <c r="G38" s="56" t="s">
        <v>1232</v>
      </c>
      <c r="H38" s="33" t="s">
        <v>1289</v>
      </c>
      <c r="I38" s="29"/>
      <c r="J38" s="31" t="s">
        <v>1290</v>
      </c>
      <c r="K38" s="36"/>
      <c r="L38" s="38" t="s">
        <v>1275</v>
      </c>
      <c r="M38" s="38" t="s">
        <v>1276</v>
      </c>
      <c r="N38" s="28" t="s">
        <v>1277</v>
      </c>
      <c r="O38" s="31" t="s">
        <v>1209</v>
      </c>
      <c r="P38" s="31" t="s">
        <v>881</v>
      </c>
      <c r="Q38" s="40" t="s">
        <v>1288</v>
      </c>
      <c r="R38" s="42"/>
      <c r="S38" s="53"/>
      <c r="T38" s="47"/>
      <c r="U38" s="47"/>
      <c r="V38" s="47"/>
      <c r="W38" s="47"/>
      <c r="X38" s="47"/>
      <c r="Y38" s="47"/>
      <c r="Z38" s="47"/>
    </row>
    <row r="39" spans="1:26" ht="12.75" customHeight="1">
      <c r="A39" s="26">
        <v>4</v>
      </c>
      <c r="B39" s="26" t="s">
        <v>363</v>
      </c>
      <c r="C39" s="26">
        <v>41</v>
      </c>
      <c r="D39" s="29" t="s">
        <v>672</v>
      </c>
      <c r="E39" s="30">
        <v>413</v>
      </c>
      <c r="F39" s="32" t="s">
        <v>1292</v>
      </c>
      <c r="G39" s="56" t="s">
        <v>1293</v>
      </c>
      <c r="H39" s="33" t="s">
        <v>1294</v>
      </c>
      <c r="I39" s="29"/>
      <c r="J39" s="31" t="s">
        <v>1296</v>
      </c>
      <c r="K39" s="36"/>
      <c r="L39" s="38" t="s">
        <v>1297</v>
      </c>
      <c r="M39" s="38" t="s">
        <v>1294</v>
      </c>
      <c r="N39" s="29"/>
      <c r="O39" s="31" t="s">
        <v>1209</v>
      </c>
      <c r="P39" s="31" t="s">
        <v>881</v>
      </c>
      <c r="Q39" s="40" t="s">
        <v>882</v>
      </c>
      <c r="R39" s="42"/>
      <c r="S39" s="89"/>
      <c r="T39" s="47"/>
      <c r="U39" s="47"/>
      <c r="V39" s="47"/>
      <c r="W39" s="47"/>
      <c r="X39" s="47"/>
      <c r="Y39" s="47"/>
      <c r="Z39" s="47"/>
    </row>
    <row r="40" spans="1:26" ht="12.75" customHeight="1">
      <c r="A40" s="26">
        <v>4</v>
      </c>
      <c r="B40" s="26" t="s">
        <v>363</v>
      </c>
      <c r="C40" s="26">
        <v>41</v>
      </c>
      <c r="D40" s="29" t="s">
        <v>672</v>
      </c>
      <c r="E40" s="30">
        <v>414</v>
      </c>
      <c r="F40" s="32" t="s">
        <v>1317</v>
      </c>
      <c r="G40" s="56" t="s">
        <v>1320</v>
      </c>
      <c r="H40" s="33" t="s">
        <v>1321</v>
      </c>
      <c r="I40" s="29"/>
      <c r="J40" s="31" t="s">
        <v>1326</v>
      </c>
      <c r="K40" s="36"/>
      <c r="L40" s="38"/>
      <c r="M40" s="38"/>
      <c r="N40" s="29"/>
      <c r="O40" s="31" t="s">
        <v>1259</v>
      </c>
      <c r="P40" s="31" t="s">
        <v>1260</v>
      </c>
      <c r="Q40" s="40" t="s">
        <v>1265</v>
      </c>
      <c r="R40" s="42"/>
      <c r="S40" s="53"/>
      <c r="T40" s="47"/>
      <c r="U40" s="47"/>
      <c r="V40" s="47"/>
      <c r="W40" s="47"/>
      <c r="X40" s="47"/>
      <c r="Y40" s="47"/>
      <c r="Z40" s="47"/>
    </row>
    <row r="41" spans="1:26" ht="12.75" customHeight="1">
      <c r="A41" s="26">
        <v>4</v>
      </c>
      <c r="B41" s="26" t="s">
        <v>363</v>
      </c>
      <c r="C41" s="26">
        <v>41</v>
      </c>
      <c r="D41" s="29" t="s">
        <v>672</v>
      </c>
      <c r="E41" s="30">
        <v>414</v>
      </c>
      <c r="F41" s="32" t="s">
        <v>1317</v>
      </c>
      <c r="G41" s="56" t="s">
        <v>1320</v>
      </c>
      <c r="H41" s="33" t="s">
        <v>1329</v>
      </c>
      <c r="I41" s="29"/>
      <c r="J41" s="34" t="s">
        <v>1330</v>
      </c>
      <c r="K41" s="36"/>
      <c r="L41" s="38"/>
      <c r="M41" s="38"/>
      <c r="N41" s="29"/>
      <c r="O41" s="31" t="s">
        <v>759</v>
      </c>
      <c r="P41" s="31" t="s">
        <v>761</v>
      </c>
      <c r="Q41" s="40" t="s">
        <v>1036</v>
      </c>
      <c r="R41" s="42"/>
      <c r="S41" s="53"/>
      <c r="T41" s="47"/>
      <c r="U41" s="47"/>
      <c r="V41" s="47"/>
      <c r="W41" s="47"/>
      <c r="X41" s="47"/>
      <c r="Y41" s="47"/>
      <c r="Z41" s="47"/>
    </row>
    <row r="42" spans="1:26" ht="12.75" customHeight="1">
      <c r="A42" s="26">
        <v>4</v>
      </c>
      <c r="B42" s="26" t="s">
        <v>363</v>
      </c>
      <c r="C42" s="26">
        <v>41</v>
      </c>
      <c r="D42" s="29" t="s">
        <v>672</v>
      </c>
      <c r="E42" s="30">
        <v>414</v>
      </c>
      <c r="F42" s="32" t="s">
        <v>1317</v>
      </c>
      <c r="G42" s="56" t="s">
        <v>1320</v>
      </c>
      <c r="H42" s="33" t="s">
        <v>1331</v>
      </c>
      <c r="I42" s="29"/>
      <c r="J42" s="31" t="s">
        <v>1332</v>
      </c>
      <c r="K42" s="36"/>
      <c r="L42" s="38" t="s">
        <v>893</v>
      </c>
      <c r="M42" s="38" t="s">
        <v>895</v>
      </c>
      <c r="N42" s="28" t="s">
        <v>896</v>
      </c>
      <c r="O42" s="31" t="s">
        <v>759</v>
      </c>
      <c r="P42" s="31" t="s">
        <v>761</v>
      </c>
      <c r="Q42" s="40" t="s">
        <v>1036</v>
      </c>
      <c r="R42" s="42"/>
      <c r="S42" s="53"/>
      <c r="T42" s="47"/>
      <c r="U42" s="47"/>
      <c r="V42" s="47"/>
      <c r="W42" s="47"/>
      <c r="X42" s="47"/>
      <c r="Y42" s="47"/>
      <c r="Z42" s="47"/>
    </row>
    <row r="43" spans="1:26" ht="12.75" customHeight="1">
      <c r="A43" s="26">
        <v>4</v>
      </c>
      <c r="B43" s="26" t="s">
        <v>363</v>
      </c>
      <c r="C43" s="26">
        <v>41</v>
      </c>
      <c r="D43" s="29" t="s">
        <v>672</v>
      </c>
      <c r="E43" s="30">
        <v>414</v>
      </c>
      <c r="F43" s="32" t="s">
        <v>1317</v>
      </c>
      <c r="G43" s="56" t="s">
        <v>1320</v>
      </c>
      <c r="H43" s="33" t="s">
        <v>1341</v>
      </c>
      <c r="I43" s="29"/>
      <c r="J43" s="31" t="s">
        <v>1343</v>
      </c>
      <c r="K43" s="36"/>
      <c r="L43" s="38" t="s">
        <v>1344</v>
      </c>
      <c r="M43" s="38" t="s">
        <v>1346</v>
      </c>
      <c r="N43" s="29" t="s">
        <v>1341</v>
      </c>
      <c r="O43" s="31" t="s">
        <v>1347</v>
      </c>
      <c r="P43" s="31" t="s">
        <v>1348</v>
      </c>
      <c r="Q43" s="40" t="s">
        <v>1349</v>
      </c>
      <c r="R43" s="42"/>
      <c r="S43" s="53"/>
      <c r="T43" s="47"/>
      <c r="U43" s="47"/>
      <c r="V43" s="47"/>
      <c r="W43" s="47"/>
      <c r="X43" s="47"/>
      <c r="Y43" s="47"/>
      <c r="Z43" s="47"/>
    </row>
    <row r="44" spans="1:26" ht="12.75" customHeight="1">
      <c r="A44" s="26">
        <v>4</v>
      </c>
      <c r="B44" s="26" t="s">
        <v>363</v>
      </c>
      <c r="C44" s="26">
        <v>41</v>
      </c>
      <c r="D44" s="29" t="s">
        <v>672</v>
      </c>
      <c r="E44" s="30">
        <v>419</v>
      </c>
      <c r="F44" s="32"/>
      <c r="G44" s="32"/>
      <c r="H44" s="66" t="s">
        <v>1353</v>
      </c>
      <c r="I44" s="29"/>
      <c r="J44" s="34" t="s">
        <v>1360</v>
      </c>
      <c r="K44" s="36"/>
      <c r="L44" s="38"/>
      <c r="M44" s="38"/>
      <c r="N44" s="29"/>
      <c r="O44" s="31" t="s">
        <v>1034</v>
      </c>
      <c r="P44" s="31" t="s">
        <v>1035</v>
      </c>
      <c r="Q44" s="40" t="s">
        <v>1037</v>
      </c>
      <c r="R44" s="42"/>
      <c r="S44" s="53"/>
      <c r="T44" s="47"/>
      <c r="U44" s="47"/>
      <c r="V44" s="47"/>
      <c r="W44" s="47"/>
      <c r="X44" s="47"/>
      <c r="Y44" s="47"/>
      <c r="Z44" s="47"/>
    </row>
    <row r="45" spans="1:26" ht="12.75" customHeight="1">
      <c r="A45" s="26">
        <v>4</v>
      </c>
      <c r="B45" s="26" t="s">
        <v>363</v>
      </c>
      <c r="C45" s="26">
        <v>42</v>
      </c>
      <c r="D45" s="29" t="s">
        <v>1368</v>
      </c>
      <c r="E45" s="30">
        <v>421</v>
      </c>
      <c r="F45" s="32" t="s">
        <v>1373</v>
      </c>
      <c r="G45" s="32"/>
      <c r="H45" s="33" t="s">
        <v>1377</v>
      </c>
      <c r="I45" s="29" t="s">
        <v>1379</v>
      </c>
      <c r="J45" s="31" t="s">
        <v>1381</v>
      </c>
      <c r="K45" s="36"/>
      <c r="L45" s="38"/>
      <c r="M45" s="38"/>
      <c r="N45" s="29"/>
      <c r="O45" s="31" t="s">
        <v>1209</v>
      </c>
      <c r="P45" s="31" t="s">
        <v>881</v>
      </c>
      <c r="Q45" s="40" t="s">
        <v>1385</v>
      </c>
      <c r="R45" s="42"/>
      <c r="S45" s="89"/>
      <c r="T45" s="47"/>
      <c r="U45" s="47"/>
      <c r="V45" s="47"/>
      <c r="W45" s="47"/>
      <c r="X45" s="47"/>
      <c r="Y45" s="47"/>
      <c r="Z45" s="47"/>
    </row>
    <row r="46" spans="1:26" ht="12.75" customHeight="1">
      <c r="A46" s="26">
        <v>4</v>
      </c>
      <c r="B46" s="26" t="s">
        <v>363</v>
      </c>
      <c r="C46" s="26">
        <v>42</v>
      </c>
      <c r="D46" s="29" t="s">
        <v>1368</v>
      </c>
      <c r="E46" s="32">
        <v>422</v>
      </c>
      <c r="F46" s="32" t="s">
        <v>1390</v>
      </c>
      <c r="G46" s="32" t="s">
        <v>1393</v>
      </c>
      <c r="H46" s="33" t="s">
        <v>1390</v>
      </c>
      <c r="I46" s="29"/>
      <c r="J46" s="31" t="s">
        <v>1394</v>
      </c>
      <c r="K46" s="36"/>
      <c r="L46" s="38"/>
      <c r="M46" s="38"/>
      <c r="N46" s="29"/>
      <c r="O46" s="31" t="s">
        <v>1395</v>
      </c>
      <c r="P46" s="31" t="s">
        <v>1396</v>
      </c>
      <c r="Q46" s="40" t="s">
        <v>1397</v>
      </c>
      <c r="R46" s="42"/>
      <c r="S46" s="53"/>
      <c r="T46" s="47"/>
      <c r="U46" s="47"/>
      <c r="V46" s="47"/>
      <c r="W46" s="47"/>
      <c r="X46" s="47"/>
      <c r="Y46" s="47"/>
      <c r="Z46" s="47"/>
    </row>
    <row r="47" spans="1:26" ht="12.75" customHeight="1">
      <c r="A47" s="91">
        <v>4</v>
      </c>
      <c r="B47" s="91" t="s">
        <v>363</v>
      </c>
      <c r="C47" s="91">
        <v>42</v>
      </c>
      <c r="D47" s="32" t="s">
        <v>1368</v>
      </c>
      <c r="E47" s="32">
        <v>422</v>
      </c>
      <c r="F47" s="32" t="s">
        <v>1390</v>
      </c>
      <c r="G47" s="32" t="s">
        <v>1393</v>
      </c>
      <c r="H47" s="33" t="s">
        <v>1414</v>
      </c>
      <c r="I47" s="29"/>
      <c r="J47" s="31" t="s">
        <v>1415</v>
      </c>
      <c r="K47" s="36"/>
      <c r="L47" s="38" t="s">
        <v>1416</v>
      </c>
      <c r="M47" s="38" t="s">
        <v>1417</v>
      </c>
      <c r="N47" s="28" t="s">
        <v>1419</v>
      </c>
      <c r="O47" s="31" t="s">
        <v>1420</v>
      </c>
      <c r="P47" s="31" t="s">
        <v>1421</v>
      </c>
      <c r="Q47" s="40" t="s">
        <v>1422</v>
      </c>
      <c r="R47" s="42"/>
      <c r="S47" s="53"/>
      <c r="T47" s="47"/>
      <c r="U47" s="47"/>
      <c r="V47" s="47"/>
      <c r="W47" s="47"/>
      <c r="X47" s="47"/>
      <c r="Y47" s="47"/>
      <c r="Z47" s="47"/>
    </row>
    <row r="48" spans="1:26" ht="12.75" customHeight="1">
      <c r="A48" s="91">
        <v>4</v>
      </c>
      <c r="B48" s="91" t="s">
        <v>363</v>
      </c>
      <c r="C48" s="91">
        <v>43</v>
      </c>
      <c r="D48" s="32" t="s">
        <v>434</v>
      </c>
      <c r="E48" s="32">
        <v>432</v>
      </c>
      <c r="F48" s="32"/>
      <c r="G48" s="32"/>
      <c r="H48" s="66" t="s">
        <v>1423</v>
      </c>
      <c r="I48" s="29"/>
      <c r="J48" s="31" t="s">
        <v>1424</v>
      </c>
      <c r="K48" s="36"/>
      <c r="L48" s="38" t="s">
        <v>893</v>
      </c>
      <c r="M48" s="38" t="s">
        <v>895</v>
      </c>
      <c r="N48" s="28" t="s">
        <v>896</v>
      </c>
      <c r="O48" s="31" t="s">
        <v>897</v>
      </c>
      <c r="P48" s="31" t="s">
        <v>898</v>
      </c>
      <c r="Q48" s="40" t="s">
        <v>573</v>
      </c>
      <c r="R48" s="42"/>
      <c r="S48" s="53"/>
      <c r="T48" s="47"/>
      <c r="U48" s="47"/>
      <c r="V48" s="47"/>
      <c r="W48" s="47"/>
      <c r="X48" s="47"/>
      <c r="Y48" s="47"/>
      <c r="Z48" s="47"/>
    </row>
    <row r="49" spans="1:26" ht="12.75" customHeight="1">
      <c r="A49" s="91">
        <v>4</v>
      </c>
      <c r="B49" s="91" t="s">
        <v>363</v>
      </c>
      <c r="C49" s="91">
        <v>43</v>
      </c>
      <c r="D49" s="32" t="s">
        <v>434</v>
      </c>
      <c r="E49" s="32">
        <v>432</v>
      </c>
      <c r="F49" s="32"/>
      <c r="G49" s="32"/>
      <c r="H49" s="66" t="s">
        <v>1429</v>
      </c>
      <c r="I49" s="29"/>
      <c r="J49" s="31" t="s">
        <v>1430</v>
      </c>
      <c r="K49" s="36"/>
      <c r="L49" s="38" t="s">
        <v>893</v>
      </c>
      <c r="M49" s="38" t="s">
        <v>895</v>
      </c>
      <c r="N49" s="28" t="s">
        <v>896</v>
      </c>
      <c r="O49" s="31" t="s">
        <v>897</v>
      </c>
      <c r="P49" s="31" t="s">
        <v>898</v>
      </c>
      <c r="Q49" s="40" t="s">
        <v>916</v>
      </c>
      <c r="R49" s="42"/>
      <c r="S49" s="53"/>
      <c r="T49" s="47"/>
      <c r="U49" s="47"/>
      <c r="V49" s="47"/>
      <c r="W49" s="47"/>
      <c r="X49" s="47"/>
      <c r="Y49" s="47"/>
      <c r="Z49" s="47"/>
    </row>
    <row r="50" spans="1:26" ht="12.75" customHeight="1">
      <c r="A50" s="91">
        <v>4</v>
      </c>
      <c r="B50" s="91" t="s">
        <v>363</v>
      </c>
      <c r="C50" s="91">
        <v>43</v>
      </c>
      <c r="D50" s="32" t="s">
        <v>434</v>
      </c>
      <c r="E50" s="32">
        <v>432</v>
      </c>
      <c r="F50" s="32"/>
      <c r="G50" s="32"/>
      <c r="H50" s="66" t="s">
        <v>1434</v>
      </c>
      <c r="I50" s="29"/>
      <c r="J50" s="31" t="s">
        <v>1438</v>
      </c>
      <c r="K50" s="36"/>
      <c r="L50" s="38" t="s">
        <v>893</v>
      </c>
      <c r="M50" s="38" t="s">
        <v>895</v>
      </c>
      <c r="N50" s="28" t="s">
        <v>896</v>
      </c>
      <c r="O50" s="31" t="s">
        <v>897</v>
      </c>
      <c r="P50" s="31" t="s">
        <v>898</v>
      </c>
      <c r="Q50" s="40" t="s">
        <v>969</v>
      </c>
      <c r="R50" s="42"/>
      <c r="S50" s="53"/>
      <c r="T50" s="47"/>
      <c r="U50" s="47"/>
      <c r="V50" s="47"/>
      <c r="W50" s="47"/>
      <c r="X50" s="47"/>
      <c r="Y50" s="47"/>
      <c r="Z50" s="47"/>
    </row>
    <row r="51" spans="1:26" ht="12.75" customHeight="1">
      <c r="A51" s="91">
        <v>4</v>
      </c>
      <c r="B51" s="91" t="s">
        <v>363</v>
      </c>
      <c r="C51" s="91">
        <v>43</v>
      </c>
      <c r="D51" s="32" t="s">
        <v>434</v>
      </c>
      <c r="E51" s="32">
        <v>432</v>
      </c>
      <c r="F51" s="32" t="s">
        <v>1445</v>
      </c>
      <c r="G51" s="32" t="s">
        <v>1447</v>
      </c>
      <c r="H51" s="66" t="s">
        <v>1449</v>
      </c>
      <c r="I51" s="29"/>
      <c r="J51" s="31" t="s">
        <v>1450</v>
      </c>
      <c r="K51" s="36"/>
      <c r="L51" s="38" t="s">
        <v>893</v>
      </c>
      <c r="M51" s="38" t="s">
        <v>895</v>
      </c>
      <c r="N51" s="28" t="s">
        <v>896</v>
      </c>
      <c r="O51" s="31" t="s">
        <v>897</v>
      </c>
      <c r="P51" s="31" t="s">
        <v>898</v>
      </c>
      <c r="Q51" s="40" t="s">
        <v>981</v>
      </c>
      <c r="R51" s="42"/>
      <c r="S51" s="53"/>
      <c r="T51" s="47"/>
      <c r="U51" s="47"/>
      <c r="V51" s="47"/>
      <c r="W51" s="47"/>
      <c r="X51" s="47"/>
      <c r="Y51" s="47"/>
      <c r="Z51" s="47"/>
    </row>
    <row r="52" spans="1:26" ht="12.75" customHeight="1">
      <c r="A52" s="91">
        <v>4</v>
      </c>
      <c r="B52" s="91" t="s">
        <v>363</v>
      </c>
      <c r="C52" s="91">
        <v>43</v>
      </c>
      <c r="D52" s="32" t="s">
        <v>434</v>
      </c>
      <c r="E52" s="32">
        <v>432</v>
      </c>
      <c r="F52" s="32" t="s">
        <v>1445</v>
      </c>
      <c r="G52" s="32" t="s">
        <v>1447</v>
      </c>
      <c r="H52" s="66" t="s">
        <v>1456</v>
      </c>
      <c r="I52" s="29"/>
      <c r="J52" s="31" t="s">
        <v>1457</v>
      </c>
      <c r="K52" s="36" t="s">
        <v>1459</v>
      </c>
      <c r="L52" s="38" t="s">
        <v>1460</v>
      </c>
      <c r="M52" s="38" t="s">
        <v>1461</v>
      </c>
      <c r="N52" s="28" t="s">
        <v>1462</v>
      </c>
      <c r="O52" s="31" t="s">
        <v>1395</v>
      </c>
      <c r="P52" s="31" t="s">
        <v>1396</v>
      </c>
      <c r="Q52" s="40" t="s">
        <v>1463</v>
      </c>
      <c r="R52" s="42"/>
      <c r="S52" s="53"/>
      <c r="T52" s="47"/>
      <c r="U52" s="47"/>
      <c r="V52" s="47"/>
      <c r="W52" s="47"/>
      <c r="X52" s="47"/>
      <c r="Y52" s="47"/>
      <c r="Z52" s="47"/>
    </row>
    <row r="53" spans="1:26" ht="12.75" customHeight="1">
      <c r="A53" s="91">
        <v>4</v>
      </c>
      <c r="B53" s="91" t="s">
        <v>363</v>
      </c>
      <c r="C53" s="91">
        <v>43</v>
      </c>
      <c r="D53" s="32" t="s">
        <v>434</v>
      </c>
      <c r="E53" s="32">
        <v>432</v>
      </c>
      <c r="F53" s="32" t="s">
        <v>1445</v>
      </c>
      <c r="G53" s="32" t="s">
        <v>1447</v>
      </c>
      <c r="H53" s="33" t="s">
        <v>1467</v>
      </c>
      <c r="I53" s="29"/>
      <c r="J53" s="31" t="s">
        <v>1468</v>
      </c>
      <c r="K53" s="36" t="s">
        <v>1470</v>
      </c>
      <c r="L53" s="38"/>
      <c r="M53" s="38"/>
      <c r="N53" s="29"/>
      <c r="O53" s="31" t="s">
        <v>1471</v>
      </c>
      <c r="P53" s="31" t="s">
        <v>881</v>
      </c>
      <c r="Q53" s="40" t="s">
        <v>1288</v>
      </c>
      <c r="R53" s="42" t="s">
        <v>1473</v>
      </c>
      <c r="S53" s="53"/>
      <c r="T53" s="47"/>
      <c r="U53" s="47"/>
      <c r="V53" s="47"/>
      <c r="W53" s="47"/>
      <c r="X53" s="47"/>
      <c r="Y53" s="47"/>
      <c r="Z53" s="47"/>
    </row>
    <row r="54" spans="1:26" ht="12.75" customHeight="1">
      <c r="A54" s="91">
        <v>4</v>
      </c>
      <c r="B54" s="91" t="s">
        <v>363</v>
      </c>
      <c r="C54" s="91">
        <v>43</v>
      </c>
      <c r="D54" s="32" t="s">
        <v>434</v>
      </c>
      <c r="E54" s="32">
        <v>432</v>
      </c>
      <c r="F54" s="32" t="s">
        <v>1445</v>
      </c>
      <c r="G54" s="32" t="s">
        <v>1447</v>
      </c>
      <c r="H54" s="33" t="s">
        <v>1476</v>
      </c>
      <c r="I54" s="29"/>
      <c r="J54" s="34" t="s">
        <v>1478</v>
      </c>
      <c r="K54" s="36"/>
      <c r="L54" s="38" t="s">
        <v>1275</v>
      </c>
      <c r="M54" s="38" t="s">
        <v>1276</v>
      </c>
      <c r="N54" s="28" t="s">
        <v>1277</v>
      </c>
      <c r="O54" s="31" t="s">
        <v>1471</v>
      </c>
      <c r="P54" s="31" t="s">
        <v>881</v>
      </c>
      <c r="Q54" s="40" t="s">
        <v>1288</v>
      </c>
      <c r="R54" s="42"/>
      <c r="S54" s="53"/>
      <c r="T54" s="47"/>
      <c r="U54" s="47"/>
      <c r="V54" s="47"/>
      <c r="W54" s="47"/>
      <c r="X54" s="47"/>
      <c r="Y54" s="47"/>
      <c r="Z54" s="47"/>
    </row>
    <row r="55" spans="1:26" ht="12.75" customHeight="1">
      <c r="A55" s="91">
        <v>4</v>
      </c>
      <c r="B55" s="91" t="s">
        <v>363</v>
      </c>
      <c r="C55" s="91">
        <v>43</v>
      </c>
      <c r="D55" s="32" t="s">
        <v>434</v>
      </c>
      <c r="E55" s="32">
        <v>432</v>
      </c>
      <c r="F55" s="32" t="s">
        <v>1445</v>
      </c>
      <c r="G55" s="32" t="s">
        <v>1447</v>
      </c>
      <c r="H55" s="66" t="s">
        <v>1484</v>
      </c>
      <c r="I55" s="29"/>
      <c r="J55" s="34" t="s">
        <v>1478</v>
      </c>
      <c r="K55" s="36"/>
      <c r="L55" s="38" t="s">
        <v>1275</v>
      </c>
      <c r="M55" s="38" t="s">
        <v>1276</v>
      </c>
      <c r="N55" s="28" t="s">
        <v>1277</v>
      </c>
      <c r="O55" s="31" t="s">
        <v>1471</v>
      </c>
      <c r="P55" s="31" t="s">
        <v>881</v>
      </c>
      <c r="Q55" s="40" t="s">
        <v>1288</v>
      </c>
      <c r="R55" s="42"/>
      <c r="S55" s="53"/>
      <c r="T55" s="47"/>
      <c r="U55" s="47"/>
      <c r="V55" s="47"/>
      <c r="W55" s="47"/>
      <c r="X55" s="47"/>
      <c r="Y55" s="47"/>
      <c r="Z55" s="47"/>
    </row>
    <row r="56" spans="1:26" ht="12.75" customHeight="1">
      <c r="A56" s="91">
        <v>4</v>
      </c>
      <c r="B56" s="91" t="s">
        <v>363</v>
      </c>
      <c r="C56" s="91">
        <v>43</v>
      </c>
      <c r="D56" s="32" t="s">
        <v>434</v>
      </c>
      <c r="E56" s="32">
        <v>432</v>
      </c>
      <c r="F56" s="32" t="s">
        <v>1445</v>
      </c>
      <c r="G56" s="32" t="s">
        <v>1447</v>
      </c>
      <c r="H56" s="66" t="s">
        <v>1485</v>
      </c>
      <c r="I56" s="29"/>
      <c r="J56" s="34" t="s">
        <v>1486</v>
      </c>
      <c r="K56" s="36"/>
      <c r="L56" s="38" t="s">
        <v>1275</v>
      </c>
      <c r="M56" s="38" t="s">
        <v>1276</v>
      </c>
      <c r="N56" s="28" t="s">
        <v>1277</v>
      </c>
      <c r="O56" s="31" t="s">
        <v>1471</v>
      </c>
      <c r="P56" s="31" t="s">
        <v>881</v>
      </c>
      <c r="Q56" s="40" t="s">
        <v>1288</v>
      </c>
      <c r="R56" s="42"/>
      <c r="S56" s="53"/>
      <c r="T56" s="47"/>
      <c r="U56" s="47"/>
      <c r="V56" s="47"/>
      <c r="W56" s="47"/>
      <c r="X56" s="47"/>
      <c r="Y56" s="47"/>
      <c r="Z56" s="47"/>
    </row>
    <row r="57" spans="1:26" ht="12.75" customHeight="1">
      <c r="A57" s="91">
        <v>4</v>
      </c>
      <c r="B57" s="91" t="s">
        <v>363</v>
      </c>
      <c r="C57" s="91">
        <v>43</v>
      </c>
      <c r="D57" s="32" t="s">
        <v>434</v>
      </c>
      <c r="E57" s="32">
        <v>432</v>
      </c>
      <c r="F57" s="32" t="s">
        <v>1445</v>
      </c>
      <c r="G57" s="32" t="s">
        <v>1447</v>
      </c>
      <c r="H57" s="66" t="s">
        <v>1487</v>
      </c>
      <c r="I57" s="29"/>
      <c r="J57" s="34" t="s">
        <v>1488</v>
      </c>
      <c r="K57" s="36"/>
      <c r="L57" s="38" t="s">
        <v>1275</v>
      </c>
      <c r="M57" s="38" t="s">
        <v>1276</v>
      </c>
      <c r="N57" s="28" t="s">
        <v>1277</v>
      </c>
      <c r="O57" s="31" t="s">
        <v>1471</v>
      </c>
      <c r="P57" s="31" t="s">
        <v>881</v>
      </c>
      <c r="Q57" s="40" t="s">
        <v>1288</v>
      </c>
      <c r="R57" s="42"/>
      <c r="S57" s="53"/>
      <c r="T57" s="47"/>
      <c r="U57" s="47"/>
      <c r="V57" s="47"/>
      <c r="W57" s="47"/>
      <c r="X57" s="47"/>
      <c r="Y57" s="47"/>
      <c r="Z57" s="47"/>
    </row>
    <row r="58" spans="1:26" ht="12.75" customHeight="1">
      <c r="A58" s="91">
        <v>4</v>
      </c>
      <c r="B58" s="91" t="s">
        <v>363</v>
      </c>
      <c r="C58" s="91">
        <v>43</v>
      </c>
      <c r="D58" s="32" t="s">
        <v>434</v>
      </c>
      <c r="E58" s="32">
        <v>433</v>
      </c>
      <c r="F58" s="32" t="s">
        <v>1490</v>
      </c>
      <c r="G58" s="56" t="s">
        <v>1492</v>
      </c>
      <c r="H58" s="33" t="s">
        <v>1493</v>
      </c>
      <c r="I58" s="29"/>
      <c r="J58" s="31" t="s">
        <v>1494</v>
      </c>
      <c r="K58" s="36"/>
      <c r="L58" s="38" t="s">
        <v>1236</v>
      </c>
      <c r="M58" s="38" t="s">
        <v>1237</v>
      </c>
      <c r="N58" s="28" t="s">
        <v>1239</v>
      </c>
      <c r="O58" s="31" t="s">
        <v>1240</v>
      </c>
      <c r="P58" s="31" t="s">
        <v>1241</v>
      </c>
      <c r="Q58" s="40" t="s">
        <v>1242</v>
      </c>
      <c r="R58" s="42"/>
      <c r="S58" s="53"/>
      <c r="T58" s="47"/>
      <c r="U58" s="47"/>
      <c r="V58" s="47"/>
      <c r="W58" s="47"/>
      <c r="X58" s="47"/>
      <c r="Y58" s="47"/>
      <c r="Z58" s="47"/>
    </row>
    <row r="59" spans="1:26" ht="12.75" customHeight="1">
      <c r="A59" s="91">
        <v>4</v>
      </c>
      <c r="B59" s="91" t="s">
        <v>363</v>
      </c>
      <c r="C59" s="91">
        <v>43</v>
      </c>
      <c r="D59" s="32" t="s">
        <v>434</v>
      </c>
      <c r="E59" s="32">
        <v>433</v>
      </c>
      <c r="F59" s="32" t="s">
        <v>1490</v>
      </c>
      <c r="G59" s="56" t="s">
        <v>1492</v>
      </c>
      <c r="H59" s="66" t="s">
        <v>1509</v>
      </c>
      <c r="I59" s="29"/>
      <c r="J59" s="34" t="s">
        <v>1510</v>
      </c>
      <c r="K59" s="36"/>
      <c r="L59" s="38" t="s">
        <v>1236</v>
      </c>
      <c r="M59" s="38" t="s">
        <v>1237</v>
      </c>
      <c r="N59" s="28" t="s">
        <v>1239</v>
      </c>
      <c r="O59" s="31" t="s">
        <v>1240</v>
      </c>
      <c r="P59" s="31" t="s">
        <v>1241</v>
      </c>
      <c r="Q59" s="40" t="s">
        <v>1512</v>
      </c>
      <c r="R59" s="42"/>
      <c r="S59" s="53"/>
      <c r="T59" s="47"/>
      <c r="U59" s="47"/>
      <c r="V59" s="47"/>
      <c r="W59" s="47"/>
      <c r="X59" s="47"/>
      <c r="Y59" s="47"/>
      <c r="Z59" s="47"/>
    </row>
    <row r="60" spans="1:26" ht="12.75" customHeight="1">
      <c r="A60" s="91">
        <v>4</v>
      </c>
      <c r="B60" s="91" t="s">
        <v>363</v>
      </c>
      <c r="C60" s="91">
        <v>43</v>
      </c>
      <c r="D60" s="32" t="s">
        <v>434</v>
      </c>
      <c r="E60" s="32">
        <v>433</v>
      </c>
      <c r="F60" s="32" t="s">
        <v>1490</v>
      </c>
      <c r="G60" s="56" t="s">
        <v>1492</v>
      </c>
      <c r="H60" s="33" t="s">
        <v>1515</v>
      </c>
      <c r="I60" s="29"/>
      <c r="J60" s="31" t="s">
        <v>1516</v>
      </c>
      <c r="K60" s="36"/>
      <c r="L60" s="38" t="s">
        <v>1517</v>
      </c>
      <c r="M60" s="38" t="s">
        <v>1518</v>
      </c>
      <c r="N60" s="28" t="s">
        <v>1519</v>
      </c>
      <c r="O60" s="31" t="s">
        <v>559</v>
      </c>
      <c r="P60" s="31" t="s">
        <v>625</v>
      </c>
      <c r="Q60" s="40" t="s">
        <v>1520</v>
      </c>
      <c r="R60" s="42"/>
      <c r="S60" s="53"/>
      <c r="T60" s="47"/>
      <c r="U60" s="47"/>
      <c r="V60" s="47"/>
      <c r="W60" s="47"/>
      <c r="X60" s="47"/>
      <c r="Y60" s="47"/>
      <c r="Z60" s="47"/>
    </row>
    <row r="61" spans="1:26" ht="12.75" customHeight="1">
      <c r="A61" s="91">
        <v>4</v>
      </c>
      <c r="B61" s="91" t="s">
        <v>363</v>
      </c>
      <c r="C61" s="91">
        <v>43</v>
      </c>
      <c r="D61" s="32" t="s">
        <v>434</v>
      </c>
      <c r="E61" s="32">
        <v>433</v>
      </c>
      <c r="F61" s="32" t="s">
        <v>1490</v>
      </c>
      <c r="G61" s="56" t="s">
        <v>1492</v>
      </c>
      <c r="H61" s="33" t="s">
        <v>1521</v>
      </c>
      <c r="I61" s="29"/>
      <c r="J61" s="31" t="s">
        <v>1522</v>
      </c>
      <c r="K61" s="36"/>
      <c r="L61" s="38" t="s">
        <v>1523</v>
      </c>
      <c r="M61" s="38" t="s">
        <v>1524</v>
      </c>
      <c r="N61" s="28" t="s">
        <v>1525</v>
      </c>
      <c r="O61" s="31" t="s">
        <v>1526</v>
      </c>
      <c r="P61" s="31" t="s">
        <v>1527</v>
      </c>
      <c r="Q61" s="40" t="s">
        <v>1528</v>
      </c>
      <c r="R61" s="42"/>
      <c r="S61" s="53"/>
      <c r="T61" s="47"/>
      <c r="U61" s="47"/>
      <c r="V61" s="47"/>
      <c r="W61" s="47"/>
      <c r="X61" s="47"/>
      <c r="Y61" s="47"/>
      <c r="Z61" s="47"/>
    </row>
    <row r="62" spans="1:26" ht="12.75" customHeight="1">
      <c r="A62" s="91">
        <v>4</v>
      </c>
      <c r="B62" s="91" t="s">
        <v>363</v>
      </c>
      <c r="C62" s="91">
        <v>43</v>
      </c>
      <c r="D62" s="32" t="s">
        <v>434</v>
      </c>
      <c r="E62" s="32">
        <v>433</v>
      </c>
      <c r="F62" s="32" t="s">
        <v>1490</v>
      </c>
      <c r="G62" s="56" t="s">
        <v>1492</v>
      </c>
      <c r="H62" s="33" t="s">
        <v>1529</v>
      </c>
      <c r="I62" s="29"/>
      <c r="J62" s="31" t="s">
        <v>1530</v>
      </c>
      <c r="K62" s="36"/>
      <c r="L62" s="38" t="s">
        <v>1236</v>
      </c>
      <c r="M62" s="38" t="s">
        <v>1237</v>
      </c>
      <c r="N62" s="28" t="s">
        <v>1239</v>
      </c>
      <c r="O62" s="31" t="s">
        <v>1240</v>
      </c>
      <c r="P62" s="31" t="s">
        <v>1241</v>
      </c>
      <c r="Q62" s="40" t="s">
        <v>1512</v>
      </c>
      <c r="R62" s="42"/>
      <c r="S62" s="53"/>
      <c r="T62" s="47"/>
      <c r="U62" s="47"/>
      <c r="V62" s="47"/>
      <c r="W62" s="47"/>
      <c r="X62" s="47"/>
      <c r="Y62" s="47"/>
      <c r="Z62" s="47"/>
    </row>
    <row r="63" spans="1:26" ht="12.75" customHeight="1">
      <c r="A63" s="91">
        <v>4</v>
      </c>
      <c r="B63" s="91" t="s">
        <v>363</v>
      </c>
      <c r="C63" s="91">
        <v>43</v>
      </c>
      <c r="D63" s="32" t="s">
        <v>434</v>
      </c>
      <c r="E63" s="32">
        <v>433</v>
      </c>
      <c r="F63" s="32" t="s">
        <v>1490</v>
      </c>
      <c r="G63" s="56" t="s">
        <v>1492</v>
      </c>
      <c r="H63" s="66" t="s">
        <v>1531</v>
      </c>
      <c r="I63" s="29" t="s">
        <v>1379</v>
      </c>
      <c r="J63" s="34" t="s">
        <v>1532</v>
      </c>
      <c r="K63" s="36"/>
      <c r="L63" s="38"/>
      <c r="M63" s="38"/>
      <c r="N63" s="29"/>
      <c r="O63" s="31" t="s">
        <v>1209</v>
      </c>
      <c r="P63" s="31" t="s">
        <v>881</v>
      </c>
      <c r="Q63" s="40" t="s">
        <v>1385</v>
      </c>
      <c r="R63" s="42" t="s">
        <v>1533</v>
      </c>
      <c r="S63" s="53"/>
      <c r="T63" s="47"/>
      <c r="U63" s="47"/>
      <c r="V63" s="47"/>
      <c r="W63" s="47"/>
      <c r="X63" s="47"/>
      <c r="Y63" s="47"/>
      <c r="Z63" s="47"/>
    </row>
    <row r="64" spans="1:26" ht="12.75" customHeight="1">
      <c r="A64" s="91">
        <v>4</v>
      </c>
      <c r="B64" s="91" t="s">
        <v>363</v>
      </c>
      <c r="C64" s="91">
        <v>43</v>
      </c>
      <c r="D64" s="32" t="s">
        <v>434</v>
      </c>
      <c r="E64" s="32">
        <v>433</v>
      </c>
      <c r="F64" s="32" t="s">
        <v>1490</v>
      </c>
      <c r="G64" s="56" t="s">
        <v>1492</v>
      </c>
      <c r="H64" s="66" t="s">
        <v>1535</v>
      </c>
      <c r="I64" s="29" t="s">
        <v>1490</v>
      </c>
      <c r="J64" s="34" t="s">
        <v>1540</v>
      </c>
      <c r="K64" s="36"/>
      <c r="L64" s="38"/>
      <c r="M64" s="38"/>
      <c r="N64" s="29"/>
      <c r="O64" s="31" t="s">
        <v>1395</v>
      </c>
      <c r="P64" s="31" t="s">
        <v>1396</v>
      </c>
      <c r="Q64" s="40" t="s">
        <v>1463</v>
      </c>
      <c r="R64" s="42"/>
      <c r="S64" s="53"/>
      <c r="T64" s="47"/>
      <c r="U64" s="47"/>
      <c r="V64" s="47"/>
      <c r="W64" s="47"/>
      <c r="X64" s="47"/>
      <c r="Y64" s="47"/>
      <c r="Z64" s="47"/>
    </row>
    <row r="65" spans="1:26" ht="12.75" customHeight="1">
      <c r="A65" s="91">
        <v>4</v>
      </c>
      <c r="B65" s="91" t="s">
        <v>363</v>
      </c>
      <c r="C65" s="91">
        <v>43</v>
      </c>
      <c r="D65" s="32" t="s">
        <v>434</v>
      </c>
      <c r="E65" s="32">
        <v>433</v>
      </c>
      <c r="F65" s="32" t="s">
        <v>1490</v>
      </c>
      <c r="G65" s="56" t="s">
        <v>1492</v>
      </c>
      <c r="H65" s="33" t="s">
        <v>1544</v>
      </c>
      <c r="I65" s="29"/>
      <c r="J65" s="31" t="s">
        <v>1546</v>
      </c>
      <c r="K65" s="36"/>
      <c r="L65" s="38" t="s">
        <v>1280</v>
      </c>
      <c r="M65" s="38" t="s">
        <v>1281</v>
      </c>
      <c r="N65" s="28" t="s">
        <v>1282</v>
      </c>
      <c r="O65" s="31" t="s">
        <v>1014</v>
      </c>
      <c r="P65" s="31" t="s">
        <v>1015</v>
      </c>
      <c r="Q65" s="40" t="s">
        <v>1016</v>
      </c>
      <c r="R65" s="42"/>
      <c r="S65" s="53"/>
      <c r="T65" s="47"/>
      <c r="U65" s="47"/>
      <c r="V65" s="47"/>
      <c r="W65" s="47"/>
      <c r="X65" s="47"/>
      <c r="Y65" s="47"/>
      <c r="Z65" s="47"/>
    </row>
    <row r="66" spans="1:26" ht="12.75" customHeight="1">
      <c r="A66" s="91">
        <v>4</v>
      </c>
      <c r="B66" s="91" t="s">
        <v>363</v>
      </c>
      <c r="C66" s="91">
        <v>43</v>
      </c>
      <c r="D66" s="32" t="s">
        <v>434</v>
      </c>
      <c r="E66" s="32">
        <v>433</v>
      </c>
      <c r="F66" s="32" t="s">
        <v>1490</v>
      </c>
      <c r="G66" s="56" t="s">
        <v>1492</v>
      </c>
      <c r="H66" s="33" t="s">
        <v>1549</v>
      </c>
      <c r="I66" s="29" t="s">
        <v>1550</v>
      </c>
      <c r="J66" s="31" t="s">
        <v>1494</v>
      </c>
      <c r="K66" s="36"/>
      <c r="L66" s="38" t="s">
        <v>1551</v>
      </c>
      <c r="M66" s="38" t="s">
        <v>1552</v>
      </c>
      <c r="N66" s="28" t="s">
        <v>1553</v>
      </c>
      <c r="O66" s="31" t="s">
        <v>1240</v>
      </c>
      <c r="P66" s="31" t="s">
        <v>1241</v>
      </c>
      <c r="Q66" s="40" t="s">
        <v>1242</v>
      </c>
      <c r="R66" s="42"/>
      <c r="S66" s="53"/>
      <c r="T66" s="47"/>
      <c r="U66" s="47"/>
      <c r="V66" s="47"/>
      <c r="W66" s="47"/>
      <c r="X66" s="47"/>
      <c r="Y66" s="47"/>
      <c r="Z66" s="47"/>
    </row>
    <row r="67" spans="1:26" ht="12.75" customHeight="1">
      <c r="A67" s="91">
        <v>4</v>
      </c>
      <c r="B67" s="91" t="s">
        <v>363</v>
      </c>
      <c r="C67" s="91">
        <v>43</v>
      </c>
      <c r="D67" s="32" t="s">
        <v>434</v>
      </c>
      <c r="E67" s="32">
        <v>433</v>
      </c>
      <c r="F67" s="32" t="s">
        <v>1490</v>
      </c>
      <c r="G67" s="56" t="s">
        <v>1492</v>
      </c>
      <c r="H67" s="33" t="s">
        <v>1557</v>
      </c>
      <c r="I67" s="29"/>
      <c r="J67" s="34" t="s">
        <v>1558</v>
      </c>
      <c r="K67" s="36"/>
      <c r="L67" s="38" t="s">
        <v>1560</v>
      </c>
      <c r="M67" s="38" t="s">
        <v>1544</v>
      </c>
      <c r="N67" s="28" t="s">
        <v>1563</v>
      </c>
      <c r="O67" s="31" t="s">
        <v>1014</v>
      </c>
      <c r="P67" s="31" t="s">
        <v>1015</v>
      </c>
      <c r="Q67" s="40" t="s">
        <v>1016</v>
      </c>
      <c r="R67" s="42"/>
      <c r="S67" s="53"/>
      <c r="T67" s="47"/>
      <c r="U67" s="47"/>
      <c r="V67" s="47"/>
      <c r="W67" s="47"/>
      <c r="X67" s="47"/>
      <c r="Y67" s="47"/>
      <c r="Z67" s="47"/>
    </row>
    <row r="68" spans="1:26" ht="12.75" customHeight="1">
      <c r="A68" s="91">
        <v>4</v>
      </c>
      <c r="B68" s="91" t="s">
        <v>363</v>
      </c>
      <c r="C68" s="91">
        <v>43</v>
      </c>
      <c r="D68" s="32" t="s">
        <v>434</v>
      </c>
      <c r="E68" s="32">
        <v>433</v>
      </c>
      <c r="F68" s="32" t="s">
        <v>1490</v>
      </c>
      <c r="G68" s="56" t="s">
        <v>1492</v>
      </c>
      <c r="H68" s="33" t="s">
        <v>1341</v>
      </c>
      <c r="I68" s="29" t="s">
        <v>1568</v>
      </c>
      <c r="J68" s="31" t="s">
        <v>1343</v>
      </c>
      <c r="K68" s="36"/>
      <c r="L68" s="38" t="s">
        <v>1344</v>
      </c>
      <c r="M68" s="38" t="s">
        <v>1346</v>
      </c>
      <c r="N68" s="29" t="s">
        <v>1341</v>
      </c>
      <c r="O68" s="31" t="s">
        <v>1347</v>
      </c>
      <c r="P68" s="31" t="s">
        <v>1348</v>
      </c>
      <c r="Q68" s="40" t="s">
        <v>1349</v>
      </c>
      <c r="R68" s="42"/>
      <c r="S68" s="53"/>
      <c r="T68" s="47"/>
      <c r="U68" s="47"/>
      <c r="V68" s="47"/>
      <c r="W68" s="47"/>
      <c r="X68" s="47"/>
      <c r="Y68" s="47"/>
      <c r="Z68" s="47"/>
    </row>
    <row r="69" spans="1:26" ht="12.75" customHeight="1">
      <c r="A69" s="91">
        <v>4</v>
      </c>
      <c r="B69" s="91" t="s">
        <v>363</v>
      </c>
      <c r="C69" s="91">
        <v>43</v>
      </c>
      <c r="D69" s="32" t="s">
        <v>434</v>
      </c>
      <c r="E69" s="32">
        <v>433</v>
      </c>
      <c r="F69" s="32" t="s">
        <v>1490</v>
      </c>
      <c r="G69" s="56" t="s">
        <v>1492</v>
      </c>
      <c r="H69" s="33" t="s">
        <v>1573</v>
      </c>
      <c r="I69" s="29"/>
      <c r="J69" s="31" t="s">
        <v>1574</v>
      </c>
      <c r="K69" s="36"/>
      <c r="L69" s="38" t="s">
        <v>1551</v>
      </c>
      <c r="M69" s="38" t="s">
        <v>1552</v>
      </c>
      <c r="N69" s="28" t="s">
        <v>1553</v>
      </c>
      <c r="O69" s="31" t="s">
        <v>1240</v>
      </c>
      <c r="P69" s="31" t="s">
        <v>1241</v>
      </c>
      <c r="Q69" s="40" t="s">
        <v>1576</v>
      </c>
      <c r="R69" s="42"/>
      <c r="S69" s="53"/>
      <c r="T69" s="47"/>
      <c r="U69" s="47"/>
      <c r="V69" s="47"/>
      <c r="W69" s="47"/>
      <c r="X69" s="47"/>
      <c r="Y69" s="47"/>
      <c r="Z69" s="47"/>
    </row>
    <row r="70" spans="1:26" ht="12.75" customHeight="1">
      <c r="A70" s="91">
        <v>4</v>
      </c>
      <c r="B70" s="91" t="s">
        <v>363</v>
      </c>
      <c r="C70" s="91">
        <v>43</v>
      </c>
      <c r="D70" s="32" t="s">
        <v>434</v>
      </c>
      <c r="E70" s="32">
        <v>433</v>
      </c>
      <c r="F70" s="32" t="s">
        <v>1490</v>
      </c>
      <c r="G70" s="56" t="s">
        <v>1492</v>
      </c>
      <c r="H70" s="33" t="s">
        <v>1577</v>
      </c>
      <c r="I70" s="29"/>
      <c r="J70" s="34" t="s">
        <v>1578</v>
      </c>
      <c r="K70" s="36"/>
      <c r="L70" s="38" t="s">
        <v>1280</v>
      </c>
      <c r="M70" s="38" t="s">
        <v>1281</v>
      </c>
      <c r="N70" s="28" t="s">
        <v>1282</v>
      </c>
      <c r="O70" s="31" t="s">
        <v>1014</v>
      </c>
      <c r="P70" s="31" t="s">
        <v>1015</v>
      </c>
      <c r="Q70" s="40" t="s">
        <v>1016</v>
      </c>
      <c r="R70" s="42"/>
      <c r="S70" s="53"/>
      <c r="T70" s="47"/>
      <c r="U70" s="47"/>
      <c r="V70" s="47"/>
      <c r="W70" s="47"/>
      <c r="X70" s="47"/>
      <c r="Y70" s="47"/>
      <c r="Z70" s="47"/>
    </row>
    <row r="71" spans="1:26" ht="12.75" customHeight="1">
      <c r="A71" s="91">
        <v>4</v>
      </c>
      <c r="B71" s="91" t="s">
        <v>363</v>
      </c>
      <c r="C71" s="91">
        <v>43</v>
      </c>
      <c r="D71" s="32" t="s">
        <v>434</v>
      </c>
      <c r="E71" s="32">
        <v>433</v>
      </c>
      <c r="F71" s="32" t="s">
        <v>1490</v>
      </c>
      <c r="G71" s="56" t="s">
        <v>1492</v>
      </c>
      <c r="H71" s="66" t="s">
        <v>1579</v>
      </c>
      <c r="I71" s="28" t="s">
        <v>1580</v>
      </c>
      <c r="J71" s="31" t="s">
        <v>1581</v>
      </c>
      <c r="K71" s="36"/>
      <c r="L71" s="38" t="s">
        <v>1460</v>
      </c>
      <c r="M71" s="38" t="s">
        <v>1461</v>
      </c>
      <c r="N71" s="28" t="s">
        <v>1462</v>
      </c>
      <c r="O71" s="31" t="s">
        <v>1395</v>
      </c>
      <c r="P71" s="31" t="s">
        <v>1396</v>
      </c>
      <c r="Q71" s="40" t="s">
        <v>1463</v>
      </c>
      <c r="R71" s="42"/>
      <c r="S71" s="53"/>
      <c r="T71" s="47"/>
      <c r="U71" s="47"/>
      <c r="V71" s="47"/>
      <c r="W71" s="47"/>
      <c r="X71" s="47"/>
      <c r="Y71" s="47"/>
      <c r="Z71" s="47"/>
    </row>
    <row r="72" spans="1:26" ht="12.75" customHeight="1">
      <c r="A72" s="91">
        <v>4</v>
      </c>
      <c r="B72" s="91" t="s">
        <v>363</v>
      </c>
      <c r="C72" s="91">
        <v>43</v>
      </c>
      <c r="D72" s="32" t="s">
        <v>434</v>
      </c>
      <c r="E72" s="32">
        <v>434</v>
      </c>
      <c r="F72" s="32" t="s">
        <v>1582</v>
      </c>
      <c r="G72" s="56" t="s">
        <v>1583</v>
      </c>
      <c r="H72" s="33" t="s">
        <v>1584</v>
      </c>
      <c r="I72" s="29"/>
      <c r="J72" s="31" t="s">
        <v>1585</v>
      </c>
      <c r="K72" s="36"/>
      <c r="L72" s="38" t="s">
        <v>1586</v>
      </c>
      <c r="M72" s="38" t="s">
        <v>1587</v>
      </c>
      <c r="N72" s="28" t="s">
        <v>1588</v>
      </c>
      <c r="O72" s="31" t="s">
        <v>559</v>
      </c>
      <c r="P72" s="31" t="s">
        <v>625</v>
      </c>
      <c r="Q72" s="40" t="s">
        <v>1589</v>
      </c>
      <c r="R72" s="42"/>
      <c r="S72" s="53"/>
      <c r="T72" s="47"/>
      <c r="U72" s="47"/>
      <c r="V72" s="47"/>
      <c r="W72" s="47"/>
      <c r="X72" s="47"/>
      <c r="Y72" s="47"/>
      <c r="Z72" s="47"/>
    </row>
    <row r="73" spans="1:26" ht="12.75" customHeight="1">
      <c r="A73" s="91">
        <v>4</v>
      </c>
      <c r="B73" s="91" t="s">
        <v>363</v>
      </c>
      <c r="C73" s="91">
        <v>43</v>
      </c>
      <c r="D73" s="32" t="s">
        <v>434</v>
      </c>
      <c r="E73" s="32">
        <v>434</v>
      </c>
      <c r="F73" s="32" t="s">
        <v>1582</v>
      </c>
      <c r="G73" s="56" t="s">
        <v>1583</v>
      </c>
      <c r="H73" s="66" t="s">
        <v>1591</v>
      </c>
      <c r="I73" s="29" t="s">
        <v>1379</v>
      </c>
      <c r="J73" s="34" t="s">
        <v>1592</v>
      </c>
      <c r="K73" s="36"/>
      <c r="L73" s="38"/>
      <c r="M73" s="38"/>
      <c r="N73" s="29"/>
      <c r="O73" s="31" t="s">
        <v>1209</v>
      </c>
      <c r="P73" s="31" t="s">
        <v>881</v>
      </c>
      <c r="Q73" s="40" t="s">
        <v>1385</v>
      </c>
      <c r="R73" s="42"/>
      <c r="S73" s="53"/>
      <c r="T73" s="47"/>
      <c r="U73" s="47"/>
      <c r="V73" s="47"/>
      <c r="W73" s="47"/>
      <c r="X73" s="47"/>
      <c r="Y73" s="47"/>
      <c r="Z73" s="47"/>
    </row>
    <row r="74" spans="1:26" ht="12.75" customHeight="1">
      <c r="A74" s="91">
        <v>4</v>
      </c>
      <c r="B74" s="91" t="s">
        <v>363</v>
      </c>
      <c r="C74" s="91">
        <v>43</v>
      </c>
      <c r="D74" s="32" t="s">
        <v>434</v>
      </c>
      <c r="E74" s="32">
        <v>434</v>
      </c>
      <c r="F74" s="32" t="s">
        <v>1582</v>
      </c>
      <c r="G74" s="56" t="s">
        <v>1583</v>
      </c>
      <c r="H74" s="66" t="s">
        <v>1597</v>
      </c>
      <c r="I74" s="29" t="s">
        <v>1598</v>
      </c>
      <c r="J74" s="34" t="s">
        <v>1599</v>
      </c>
      <c r="K74" s="36"/>
      <c r="L74" s="38"/>
      <c r="M74" s="38"/>
      <c r="N74" s="29"/>
      <c r="O74" s="31" t="s">
        <v>1395</v>
      </c>
      <c r="P74" s="31" t="s">
        <v>1396</v>
      </c>
      <c r="Q74" s="40" t="s">
        <v>1463</v>
      </c>
      <c r="R74" s="42"/>
      <c r="S74" s="53"/>
      <c r="T74" s="47"/>
      <c r="U74" s="47"/>
      <c r="V74" s="47"/>
      <c r="W74" s="47"/>
      <c r="X74" s="47"/>
      <c r="Y74" s="47"/>
      <c r="Z74" s="47"/>
    </row>
    <row r="75" spans="1:26" ht="12.75" customHeight="1">
      <c r="A75" s="91">
        <v>4</v>
      </c>
      <c r="B75" s="91" t="s">
        <v>363</v>
      </c>
      <c r="C75" s="91">
        <v>43</v>
      </c>
      <c r="D75" s="32" t="s">
        <v>434</v>
      </c>
      <c r="E75" s="32">
        <v>434</v>
      </c>
      <c r="F75" s="32" t="s">
        <v>1582</v>
      </c>
      <c r="G75" s="56" t="s">
        <v>1583</v>
      </c>
      <c r="H75" s="33" t="s">
        <v>1603</v>
      </c>
      <c r="I75" s="29"/>
      <c r="J75" s="31" t="s">
        <v>1604</v>
      </c>
      <c r="K75" s="36"/>
      <c r="L75" s="38" t="s">
        <v>1496</v>
      </c>
      <c r="M75" s="85" t="s">
        <v>1497</v>
      </c>
      <c r="N75" s="28" t="s">
        <v>1608</v>
      </c>
      <c r="O75" s="31" t="s">
        <v>986</v>
      </c>
      <c r="P75" s="31"/>
      <c r="Q75" s="40"/>
      <c r="R75" s="42"/>
      <c r="S75" s="53"/>
      <c r="T75" s="47"/>
      <c r="U75" s="47"/>
      <c r="V75" s="47"/>
      <c r="W75" s="47"/>
      <c r="X75" s="47"/>
      <c r="Y75" s="47"/>
      <c r="Z75" s="47"/>
    </row>
    <row r="76" spans="1:26" ht="12.75" customHeight="1">
      <c r="A76" s="91">
        <v>4</v>
      </c>
      <c r="B76" s="91" t="s">
        <v>363</v>
      </c>
      <c r="C76" s="91">
        <v>43</v>
      </c>
      <c r="D76" s="32" t="s">
        <v>434</v>
      </c>
      <c r="E76" s="32">
        <v>434</v>
      </c>
      <c r="F76" s="32" t="s">
        <v>1582</v>
      </c>
      <c r="G76" s="56" t="s">
        <v>1583</v>
      </c>
      <c r="H76" s="33" t="s">
        <v>1610</v>
      </c>
      <c r="I76" s="29"/>
      <c r="J76" s="34" t="s">
        <v>1611</v>
      </c>
      <c r="K76" s="36"/>
      <c r="L76" s="38" t="s">
        <v>1496</v>
      </c>
      <c r="M76" s="85" t="s">
        <v>1497</v>
      </c>
      <c r="N76" s="28" t="s">
        <v>1608</v>
      </c>
      <c r="O76" s="31" t="s">
        <v>986</v>
      </c>
      <c r="P76" s="31" t="s">
        <v>987</v>
      </c>
      <c r="Q76" s="40" t="s">
        <v>1613</v>
      </c>
      <c r="R76" s="42"/>
      <c r="S76" s="53"/>
      <c r="T76" s="47"/>
      <c r="U76" s="47"/>
      <c r="V76" s="47"/>
      <c r="W76" s="47"/>
      <c r="X76" s="47"/>
      <c r="Y76" s="47"/>
      <c r="Z76" s="47"/>
    </row>
    <row r="77" spans="1:26" ht="12.75" customHeight="1">
      <c r="A77" s="91">
        <v>4</v>
      </c>
      <c r="B77" s="91" t="s">
        <v>363</v>
      </c>
      <c r="C77" s="91">
        <v>43</v>
      </c>
      <c r="D77" s="32" t="s">
        <v>434</v>
      </c>
      <c r="E77" s="32">
        <v>434</v>
      </c>
      <c r="F77" s="32" t="s">
        <v>1582</v>
      </c>
      <c r="G77" s="56" t="s">
        <v>1583</v>
      </c>
      <c r="H77" s="66" t="s">
        <v>1614</v>
      </c>
      <c r="I77" s="29"/>
      <c r="J77" s="34" t="s">
        <v>1615</v>
      </c>
      <c r="K77" s="36"/>
      <c r="L77" s="38" t="s">
        <v>1344</v>
      </c>
      <c r="M77" s="38" t="s">
        <v>1346</v>
      </c>
      <c r="N77" s="29" t="s">
        <v>1341</v>
      </c>
      <c r="O77" s="31" t="s">
        <v>1347</v>
      </c>
      <c r="P77" s="31" t="s">
        <v>1348</v>
      </c>
      <c r="Q77" s="40" t="s">
        <v>1349</v>
      </c>
      <c r="R77" s="42"/>
      <c r="S77" s="53"/>
      <c r="T77" s="47"/>
      <c r="U77" s="47"/>
      <c r="V77" s="47"/>
      <c r="W77" s="47"/>
      <c r="X77" s="47"/>
      <c r="Y77" s="47"/>
      <c r="Z77" s="47"/>
    </row>
    <row r="78" spans="1:26" ht="12.75" customHeight="1">
      <c r="A78" s="91">
        <v>4</v>
      </c>
      <c r="B78" s="91" t="s">
        <v>363</v>
      </c>
      <c r="C78" s="91">
        <v>43</v>
      </c>
      <c r="D78" s="32" t="s">
        <v>434</v>
      </c>
      <c r="E78" s="32">
        <v>434</v>
      </c>
      <c r="F78" s="32" t="s">
        <v>1582</v>
      </c>
      <c r="G78" s="56" t="s">
        <v>1616</v>
      </c>
      <c r="H78" s="66" t="s">
        <v>1618</v>
      </c>
      <c r="I78" s="29"/>
      <c r="J78" s="34" t="s">
        <v>1619</v>
      </c>
      <c r="K78" s="36"/>
      <c r="L78" s="38"/>
      <c r="M78" s="38"/>
      <c r="N78" s="29"/>
      <c r="O78" s="31" t="s">
        <v>1395</v>
      </c>
      <c r="P78" s="31" t="s">
        <v>1396</v>
      </c>
      <c r="Q78" s="40" t="s">
        <v>1463</v>
      </c>
      <c r="R78" s="42"/>
      <c r="S78" s="53"/>
      <c r="T78" s="47"/>
      <c r="U78" s="47"/>
      <c r="V78" s="47"/>
      <c r="W78" s="47"/>
      <c r="X78" s="47"/>
      <c r="Y78" s="47"/>
      <c r="Z78" s="47"/>
    </row>
    <row r="79" spans="1:26" ht="12.75" customHeight="1">
      <c r="A79" s="91">
        <v>4</v>
      </c>
      <c r="B79" s="91" t="s">
        <v>363</v>
      </c>
      <c r="C79" s="91">
        <v>43</v>
      </c>
      <c r="D79" s="32" t="s">
        <v>434</v>
      </c>
      <c r="E79" s="32">
        <v>435</v>
      </c>
      <c r="F79" s="32" t="s">
        <v>1620</v>
      </c>
      <c r="G79" s="56" t="s">
        <v>1621</v>
      </c>
      <c r="H79" s="66" t="s">
        <v>1622</v>
      </c>
      <c r="I79" s="28" t="s">
        <v>1623</v>
      </c>
      <c r="J79" s="34" t="s">
        <v>1624</v>
      </c>
      <c r="K79" s="36"/>
      <c r="L79" s="38"/>
      <c r="M79" s="38"/>
      <c r="N79" s="29"/>
      <c r="O79" s="31" t="s">
        <v>1209</v>
      </c>
      <c r="P79" s="31" t="s">
        <v>881</v>
      </c>
      <c r="Q79" s="40" t="s">
        <v>1385</v>
      </c>
      <c r="R79" s="42"/>
      <c r="S79" s="53"/>
      <c r="T79" s="47"/>
      <c r="U79" s="47"/>
      <c r="V79" s="47"/>
      <c r="W79" s="47"/>
      <c r="X79" s="47"/>
      <c r="Y79" s="47"/>
      <c r="Z79" s="47"/>
    </row>
    <row r="80" spans="1:26" ht="12.75" customHeight="1">
      <c r="A80" s="91">
        <v>4</v>
      </c>
      <c r="B80" s="91" t="s">
        <v>363</v>
      </c>
      <c r="C80" s="91">
        <v>43</v>
      </c>
      <c r="D80" s="32" t="s">
        <v>434</v>
      </c>
      <c r="E80" s="32">
        <v>435</v>
      </c>
      <c r="F80" s="32" t="s">
        <v>1620</v>
      </c>
      <c r="G80" s="56" t="s">
        <v>1621</v>
      </c>
      <c r="H80" s="66" t="s">
        <v>1630</v>
      </c>
      <c r="I80" s="29" t="s">
        <v>1632</v>
      </c>
      <c r="J80" s="34" t="s">
        <v>1633</v>
      </c>
      <c r="K80" s="36"/>
      <c r="L80" s="38"/>
      <c r="M80" s="38"/>
      <c r="N80" s="29"/>
      <c r="O80" s="31" t="s">
        <v>1395</v>
      </c>
      <c r="P80" s="31" t="s">
        <v>1396</v>
      </c>
      <c r="Q80" s="40" t="s">
        <v>1463</v>
      </c>
      <c r="R80" s="42"/>
      <c r="S80" s="53"/>
      <c r="T80" s="47"/>
      <c r="U80" s="47"/>
      <c r="V80" s="47"/>
      <c r="W80" s="47"/>
      <c r="X80" s="47"/>
      <c r="Y80" s="47"/>
      <c r="Z80" s="47"/>
    </row>
    <row r="81" spans="1:26" ht="12.75" customHeight="1">
      <c r="A81" s="91">
        <v>4</v>
      </c>
      <c r="B81" s="91" t="s">
        <v>363</v>
      </c>
      <c r="C81" s="91">
        <v>43</v>
      </c>
      <c r="D81" s="32" t="s">
        <v>434</v>
      </c>
      <c r="E81" s="32">
        <v>435</v>
      </c>
      <c r="F81" s="32" t="s">
        <v>1620</v>
      </c>
      <c r="G81" s="56" t="s">
        <v>1621</v>
      </c>
      <c r="H81" s="66" t="s">
        <v>1638</v>
      </c>
      <c r="I81" s="29"/>
      <c r="J81" s="34" t="s">
        <v>1640</v>
      </c>
      <c r="K81" s="36"/>
      <c r="L81" s="38" t="s">
        <v>1344</v>
      </c>
      <c r="M81" s="38" t="s">
        <v>1346</v>
      </c>
      <c r="N81" s="29" t="s">
        <v>1341</v>
      </c>
      <c r="O81" s="31" t="s">
        <v>1347</v>
      </c>
      <c r="P81" s="31" t="s">
        <v>1348</v>
      </c>
      <c r="Q81" s="40" t="s">
        <v>1349</v>
      </c>
      <c r="R81" s="42"/>
      <c r="S81" s="53"/>
      <c r="T81" s="47"/>
      <c r="U81" s="47"/>
      <c r="V81" s="47"/>
      <c r="W81" s="47"/>
      <c r="X81" s="47"/>
      <c r="Y81" s="47"/>
      <c r="Z81" s="47"/>
    </row>
    <row r="82" spans="1:26" ht="12.75" customHeight="1">
      <c r="A82" s="91">
        <v>4</v>
      </c>
      <c r="B82" s="91" t="s">
        <v>363</v>
      </c>
      <c r="C82" s="91">
        <v>43</v>
      </c>
      <c r="D82" s="32" t="s">
        <v>434</v>
      </c>
      <c r="E82" s="32">
        <v>435</v>
      </c>
      <c r="F82" s="32" t="s">
        <v>1620</v>
      </c>
      <c r="G82" s="56" t="s">
        <v>1621</v>
      </c>
      <c r="H82" s="66" t="s">
        <v>1648</v>
      </c>
      <c r="I82" s="28" t="s">
        <v>1651</v>
      </c>
      <c r="J82" s="31" t="s">
        <v>1581</v>
      </c>
      <c r="K82" s="36"/>
      <c r="L82" s="38" t="s">
        <v>1460</v>
      </c>
      <c r="M82" s="38" t="s">
        <v>1461</v>
      </c>
      <c r="N82" s="28" t="s">
        <v>1462</v>
      </c>
      <c r="O82" s="31" t="s">
        <v>1395</v>
      </c>
      <c r="P82" s="31" t="s">
        <v>1396</v>
      </c>
      <c r="Q82" s="40" t="s">
        <v>1463</v>
      </c>
      <c r="R82" s="42"/>
      <c r="S82" s="53"/>
      <c r="T82" s="47"/>
      <c r="U82" s="47"/>
      <c r="V82" s="47"/>
      <c r="W82" s="47"/>
      <c r="X82" s="47"/>
      <c r="Y82" s="47"/>
      <c r="Z82" s="47"/>
    </row>
    <row r="83" spans="1:26" ht="12.75" customHeight="1">
      <c r="A83" s="91">
        <v>4</v>
      </c>
      <c r="B83" s="91" t="s">
        <v>363</v>
      </c>
      <c r="C83" s="91">
        <v>43</v>
      </c>
      <c r="D83" s="32" t="s">
        <v>434</v>
      </c>
      <c r="E83" s="32">
        <v>432</v>
      </c>
      <c r="F83" s="32" t="s">
        <v>1445</v>
      </c>
      <c r="G83" s="32" t="s">
        <v>1447</v>
      </c>
      <c r="H83" s="66" t="s">
        <v>1655</v>
      </c>
      <c r="I83" s="29" t="s">
        <v>1656</v>
      </c>
      <c r="J83" s="31" t="s">
        <v>1657</v>
      </c>
      <c r="K83" s="36"/>
      <c r="L83" s="38" t="s">
        <v>529</v>
      </c>
      <c r="M83" s="38" t="s">
        <v>526</v>
      </c>
      <c r="N83" s="28" t="s">
        <v>531</v>
      </c>
      <c r="O83" s="31" t="s">
        <v>511</v>
      </c>
      <c r="P83" s="31" t="s">
        <v>512</v>
      </c>
      <c r="Q83" s="40" t="s">
        <v>532</v>
      </c>
      <c r="R83" s="42"/>
      <c r="S83" s="53"/>
      <c r="T83" s="47"/>
      <c r="U83" s="47"/>
      <c r="V83" s="47"/>
      <c r="W83" s="47"/>
      <c r="X83" s="47"/>
      <c r="Y83" s="47"/>
      <c r="Z83" s="47"/>
    </row>
    <row r="84" spans="1:26" ht="12.75" customHeight="1">
      <c r="A84" s="91">
        <v>4</v>
      </c>
      <c r="B84" s="91" t="s">
        <v>363</v>
      </c>
      <c r="C84" s="91">
        <v>43</v>
      </c>
      <c r="D84" s="32" t="s">
        <v>434</v>
      </c>
      <c r="E84" s="32">
        <v>432</v>
      </c>
      <c r="F84" s="32" t="s">
        <v>1445</v>
      </c>
      <c r="G84" s="32" t="s">
        <v>1447</v>
      </c>
      <c r="H84" s="66" t="s">
        <v>1663</v>
      </c>
      <c r="I84" s="29"/>
      <c r="J84" s="34" t="s">
        <v>1664</v>
      </c>
      <c r="K84" s="36"/>
      <c r="L84" s="38"/>
      <c r="M84" s="38"/>
      <c r="N84" s="29"/>
      <c r="O84" s="31" t="s">
        <v>1395</v>
      </c>
      <c r="P84" s="31" t="s">
        <v>1396</v>
      </c>
      <c r="Q84" s="40" t="s">
        <v>1463</v>
      </c>
      <c r="R84" s="42"/>
      <c r="S84" s="89"/>
      <c r="T84" s="47"/>
      <c r="U84" s="47"/>
      <c r="V84" s="47"/>
      <c r="W84" s="47"/>
      <c r="X84" s="47"/>
      <c r="Y84" s="47"/>
      <c r="Z84" s="47"/>
    </row>
    <row r="85" spans="1:26" ht="12.75" customHeight="1">
      <c r="A85" s="91">
        <v>4</v>
      </c>
      <c r="B85" s="91" t="s">
        <v>363</v>
      </c>
      <c r="C85" s="91">
        <v>45</v>
      </c>
      <c r="D85" s="32" t="s">
        <v>1668</v>
      </c>
      <c r="E85" s="32">
        <v>450</v>
      </c>
      <c r="F85" s="32" t="s">
        <v>1668</v>
      </c>
      <c r="G85" s="32"/>
      <c r="H85" s="33" t="s">
        <v>1669</v>
      </c>
      <c r="I85" s="29"/>
      <c r="J85" s="31" t="s">
        <v>1670</v>
      </c>
      <c r="K85" s="36"/>
      <c r="L85" s="38" t="s">
        <v>1671</v>
      </c>
      <c r="M85" s="38" t="s">
        <v>1672</v>
      </c>
      <c r="N85" s="28" t="s">
        <v>1673</v>
      </c>
      <c r="O85" s="31" t="s">
        <v>559</v>
      </c>
      <c r="P85" s="31" t="s">
        <v>625</v>
      </c>
      <c r="Q85" s="40" t="s">
        <v>1674</v>
      </c>
      <c r="R85" s="42"/>
      <c r="S85" s="89"/>
      <c r="T85" s="47"/>
      <c r="U85" s="47"/>
      <c r="V85" s="47"/>
      <c r="W85" s="47"/>
      <c r="X85" s="47"/>
      <c r="Y85" s="47"/>
      <c r="Z85" s="47"/>
    </row>
    <row r="86" spans="1:26" ht="12.75" customHeight="1">
      <c r="A86" s="91">
        <v>5</v>
      </c>
      <c r="B86" s="91" t="s">
        <v>1676</v>
      </c>
      <c r="C86" s="91">
        <v>56</v>
      </c>
      <c r="D86" s="32" t="s">
        <v>1688</v>
      </c>
      <c r="E86" s="32">
        <v>562</v>
      </c>
      <c r="F86" s="32" t="s">
        <v>1691</v>
      </c>
      <c r="G86" s="32" t="s">
        <v>1692</v>
      </c>
      <c r="H86" s="66" t="s">
        <v>1693</v>
      </c>
      <c r="I86" s="29"/>
      <c r="J86" s="31" t="s">
        <v>1694</v>
      </c>
      <c r="K86" s="36"/>
      <c r="L86" s="38" t="s">
        <v>1695</v>
      </c>
      <c r="M86" s="38" t="s">
        <v>1696</v>
      </c>
      <c r="N86" s="28" t="s">
        <v>1698</v>
      </c>
      <c r="O86" s="31" t="s">
        <v>559</v>
      </c>
      <c r="P86" s="31" t="s">
        <v>625</v>
      </c>
      <c r="Q86" s="40" t="s">
        <v>1700</v>
      </c>
      <c r="R86" s="42"/>
      <c r="S86" s="89"/>
      <c r="T86" s="47"/>
      <c r="U86" s="47"/>
      <c r="V86" s="47"/>
      <c r="W86" s="47"/>
      <c r="X86" s="47"/>
      <c r="Y86" s="47"/>
      <c r="Z86" s="47"/>
    </row>
    <row r="87" spans="1:26" ht="12.75" customHeight="1">
      <c r="A87" s="91">
        <v>4</v>
      </c>
      <c r="B87" s="91" t="s">
        <v>363</v>
      </c>
      <c r="C87" s="91">
        <v>45</v>
      </c>
      <c r="D87" s="32" t="s">
        <v>1668</v>
      </c>
      <c r="E87" s="32">
        <v>450</v>
      </c>
      <c r="F87" s="32" t="s">
        <v>1668</v>
      </c>
      <c r="G87" s="32"/>
      <c r="H87" s="33" t="s">
        <v>1702</v>
      </c>
      <c r="I87" s="29" t="s">
        <v>1703</v>
      </c>
      <c r="J87" s="31" t="s">
        <v>1704</v>
      </c>
      <c r="K87" s="36"/>
      <c r="L87" s="38" t="s">
        <v>640</v>
      </c>
      <c r="M87" s="38" t="s">
        <v>642</v>
      </c>
      <c r="N87" s="28" t="s">
        <v>644</v>
      </c>
      <c r="O87" s="31" t="s">
        <v>1240</v>
      </c>
      <c r="P87" s="31" t="s">
        <v>1241</v>
      </c>
      <c r="Q87" s="40" t="s">
        <v>1709</v>
      </c>
      <c r="R87" s="42"/>
      <c r="S87" s="89"/>
      <c r="T87" s="47"/>
      <c r="U87" s="47"/>
      <c r="V87" s="47"/>
      <c r="W87" s="47"/>
      <c r="X87" s="47"/>
      <c r="Y87" s="47"/>
      <c r="Z87" s="47"/>
    </row>
    <row r="88" spans="1:26" ht="12.75" customHeight="1">
      <c r="A88" s="91">
        <v>4</v>
      </c>
      <c r="B88" s="91" t="s">
        <v>363</v>
      </c>
      <c r="C88" s="91">
        <v>45</v>
      </c>
      <c r="D88" s="32" t="s">
        <v>1668</v>
      </c>
      <c r="E88" s="32">
        <v>452</v>
      </c>
      <c r="F88" s="32" t="s">
        <v>1714</v>
      </c>
      <c r="G88" s="56" t="s">
        <v>1715</v>
      </c>
      <c r="H88" s="33" t="s">
        <v>1717</v>
      </c>
      <c r="I88" s="28" t="s">
        <v>1718</v>
      </c>
      <c r="J88" s="34" t="s">
        <v>1718</v>
      </c>
      <c r="K88" s="36"/>
      <c r="L88" s="38" t="s">
        <v>1719</v>
      </c>
      <c r="M88" s="38" t="s">
        <v>1720</v>
      </c>
      <c r="N88" s="28" t="s">
        <v>1722</v>
      </c>
      <c r="O88" s="31" t="s">
        <v>1723</v>
      </c>
      <c r="P88" s="31" t="s">
        <v>1724</v>
      </c>
      <c r="Q88" s="40" t="s">
        <v>1725</v>
      </c>
      <c r="R88" s="42"/>
      <c r="S88" s="89"/>
      <c r="T88" s="47"/>
      <c r="U88" s="47"/>
      <c r="V88" s="47"/>
      <c r="W88" s="47"/>
      <c r="X88" s="47"/>
      <c r="Y88" s="47"/>
      <c r="Z88" s="47"/>
    </row>
    <row r="89" spans="1:26" ht="12.75" customHeight="1">
      <c r="A89" s="91">
        <v>4</v>
      </c>
      <c r="B89" s="91" t="s">
        <v>363</v>
      </c>
      <c r="C89" s="91">
        <v>45</v>
      </c>
      <c r="D89" s="32" t="s">
        <v>1668</v>
      </c>
      <c r="E89" s="32">
        <v>452</v>
      </c>
      <c r="F89" s="32" t="s">
        <v>1714</v>
      </c>
      <c r="G89" s="56" t="s">
        <v>1715</v>
      </c>
      <c r="H89" s="33" t="s">
        <v>1732</v>
      </c>
      <c r="I89" s="28" t="s">
        <v>1733</v>
      </c>
      <c r="J89" s="34" t="s">
        <v>1733</v>
      </c>
      <c r="K89" s="36"/>
      <c r="L89" s="38" t="s">
        <v>1719</v>
      </c>
      <c r="M89" s="38" t="s">
        <v>1720</v>
      </c>
      <c r="N89" s="28" t="s">
        <v>1722</v>
      </c>
      <c r="O89" s="31" t="s">
        <v>1723</v>
      </c>
      <c r="P89" s="31" t="s">
        <v>1724</v>
      </c>
      <c r="Q89" s="40" t="s">
        <v>1725</v>
      </c>
      <c r="R89" s="42"/>
      <c r="S89" s="89"/>
      <c r="T89" s="47"/>
      <c r="U89" s="47"/>
      <c r="V89" s="47"/>
      <c r="W89" s="47"/>
      <c r="X89" s="47"/>
      <c r="Y89" s="47"/>
      <c r="Z89" s="47"/>
    </row>
    <row r="90" spans="1:26" ht="12.75" customHeight="1">
      <c r="A90" s="91">
        <v>4</v>
      </c>
      <c r="B90" s="91" t="s">
        <v>363</v>
      </c>
      <c r="C90" s="91">
        <v>45</v>
      </c>
      <c r="D90" s="32" t="s">
        <v>1668</v>
      </c>
      <c r="E90" s="32">
        <v>452</v>
      </c>
      <c r="F90" s="32" t="s">
        <v>1714</v>
      </c>
      <c r="G90" s="56" t="s">
        <v>1715</v>
      </c>
      <c r="H90" s="33" t="s">
        <v>1734</v>
      </c>
      <c r="I90" s="28" t="s">
        <v>1736</v>
      </c>
      <c r="J90" s="34" t="s">
        <v>1736</v>
      </c>
      <c r="K90" s="36"/>
      <c r="L90" s="38" t="s">
        <v>1719</v>
      </c>
      <c r="M90" s="38" t="s">
        <v>1720</v>
      </c>
      <c r="N90" s="28" t="s">
        <v>1722</v>
      </c>
      <c r="O90" s="31" t="s">
        <v>1723</v>
      </c>
      <c r="P90" s="31" t="s">
        <v>1724</v>
      </c>
      <c r="Q90" s="40" t="s">
        <v>1725</v>
      </c>
      <c r="R90" s="42"/>
      <c r="S90" s="89"/>
      <c r="T90" s="47"/>
      <c r="U90" s="47"/>
      <c r="V90" s="47"/>
      <c r="W90" s="47"/>
      <c r="X90" s="47"/>
      <c r="Y90" s="47"/>
      <c r="Z90" s="47"/>
    </row>
    <row r="91" spans="1:26" ht="12.75" customHeight="1">
      <c r="A91" s="91">
        <v>4</v>
      </c>
      <c r="B91" s="91" t="s">
        <v>363</v>
      </c>
      <c r="C91" s="91">
        <v>46</v>
      </c>
      <c r="D91" s="32" t="s">
        <v>1737</v>
      </c>
      <c r="E91" s="32">
        <v>461</v>
      </c>
      <c r="F91" s="32" t="s">
        <v>1738</v>
      </c>
      <c r="G91" s="56" t="s">
        <v>1739</v>
      </c>
      <c r="H91" s="33" t="s">
        <v>1740</v>
      </c>
      <c r="I91" s="29"/>
      <c r="J91" s="31" t="s">
        <v>1741</v>
      </c>
      <c r="K91" s="36"/>
      <c r="L91" s="38" t="s">
        <v>1743</v>
      </c>
      <c r="M91" s="38" t="s">
        <v>1740</v>
      </c>
      <c r="N91" s="28" t="s">
        <v>1745</v>
      </c>
      <c r="O91" s="31" t="s">
        <v>1746</v>
      </c>
      <c r="P91" s="31" t="s">
        <v>1747</v>
      </c>
      <c r="Q91" s="40" t="s">
        <v>1750</v>
      </c>
      <c r="R91" s="42"/>
      <c r="S91" s="53"/>
      <c r="T91" s="47"/>
      <c r="U91" s="47"/>
      <c r="V91" s="47"/>
      <c r="W91" s="47"/>
      <c r="X91" s="47"/>
      <c r="Y91" s="47"/>
      <c r="Z91" s="47"/>
    </row>
    <row r="92" spans="1:26" ht="12.75" customHeight="1">
      <c r="A92" s="91">
        <v>4</v>
      </c>
      <c r="B92" s="91" t="s">
        <v>363</v>
      </c>
      <c r="C92" s="91">
        <v>46</v>
      </c>
      <c r="D92" s="32" t="s">
        <v>1737</v>
      </c>
      <c r="E92" s="32">
        <v>461</v>
      </c>
      <c r="F92" s="32" t="s">
        <v>1738</v>
      </c>
      <c r="G92" s="56" t="s">
        <v>1739</v>
      </c>
      <c r="H92" s="33" t="s">
        <v>1751</v>
      </c>
      <c r="I92" s="29"/>
      <c r="J92" s="31" t="s">
        <v>1753</v>
      </c>
      <c r="K92" s="36"/>
      <c r="L92" s="38" t="s">
        <v>1754</v>
      </c>
      <c r="M92" s="38" t="s">
        <v>1756</v>
      </c>
      <c r="N92" s="28" t="s">
        <v>1757</v>
      </c>
      <c r="O92" s="31" t="s">
        <v>936</v>
      </c>
      <c r="P92" s="31" t="s">
        <v>937</v>
      </c>
      <c r="Q92" s="40" t="s">
        <v>1758</v>
      </c>
      <c r="R92" s="42"/>
      <c r="S92" s="53"/>
      <c r="T92" s="47"/>
      <c r="U92" s="47"/>
      <c r="V92" s="47"/>
      <c r="W92" s="47"/>
      <c r="X92" s="47"/>
      <c r="Y92" s="47"/>
      <c r="Z92" s="47"/>
    </row>
    <row r="93" spans="1:26" ht="12.75" customHeight="1">
      <c r="A93" s="91">
        <v>4</v>
      </c>
      <c r="B93" s="91" t="s">
        <v>363</v>
      </c>
      <c r="C93" s="91">
        <v>46</v>
      </c>
      <c r="D93" s="32" t="s">
        <v>1737</v>
      </c>
      <c r="E93" s="32">
        <v>461</v>
      </c>
      <c r="F93" s="32" t="s">
        <v>1738</v>
      </c>
      <c r="G93" s="56" t="s">
        <v>1739</v>
      </c>
      <c r="H93" s="33" t="s">
        <v>1763</v>
      </c>
      <c r="I93" s="29"/>
      <c r="J93" s="34" t="s">
        <v>1764</v>
      </c>
      <c r="K93" s="36"/>
      <c r="L93" s="38" t="s">
        <v>1754</v>
      </c>
      <c r="M93" s="38" t="s">
        <v>1756</v>
      </c>
      <c r="N93" s="28" t="s">
        <v>1757</v>
      </c>
      <c r="O93" s="31" t="s">
        <v>936</v>
      </c>
      <c r="P93" s="31" t="s">
        <v>937</v>
      </c>
      <c r="Q93" s="40" t="s">
        <v>1758</v>
      </c>
      <c r="R93" s="42"/>
      <c r="S93" s="53"/>
      <c r="T93" s="47"/>
      <c r="U93" s="47"/>
      <c r="V93" s="47"/>
      <c r="W93" s="47"/>
      <c r="X93" s="47"/>
      <c r="Y93" s="47"/>
      <c r="Z93" s="47"/>
    </row>
    <row r="94" spans="1:26" ht="12.75" customHeight="1">
      <c r="A94" s="91">
        <v>4</v>
      </c>
      <c r="B94" s="91" t="s">
        <v>363</v>
      </c>
      <c r="C94" s="91">
        <v>46</v>
      </c>
      <c r="D94" s="32" t="s">
        <v>1737</v>
      </c>
      <c r="E94" s="32">
        <v>461</v>
      </c>
      <c r="F94" s="32" t="s">
        <v>1738</v>
      </c>
      <c r="G94" s="56" t="s">
        <v>1739</v>
      </c>
      <c r="H94" s="33" t="s">
        <v>1768</v>
      </c>
      <c r="I94" s="29"/>
      <c r="J94" s="34" t="s">
        <v>1769</v>
      </c>
      <c r="K94" s="36"/>
      <c r="L94" s="38" t="s">
        <v>1743</v>
      </c>
      <c r="M94" s="38" t="s">
        <v>1740</v>
      </c>
      <c r="N94" s="28" t="s">
        <v>1745</v>
      </c>
      <c r="O94" s="31" t="s">
        <v>1746</v>
      </c>
      <c r="P94" s="31" t="s">
        <v>1747</v>
      </c>
      <c r="Q94" s="40" t="s">
        <v>1750</v>
      </c>
      <c r="R94" s="42"/>
      <c r="S94" s="53"/>
      <c r="T94" s="47"/>
      <c r="U94" s="47"/>
      <c r="V94" s="47"/>
      <c r="W94" s="47"/>
      <c r="X94" s="47"/>
      <c r="Y94" s="47"/>
      <c r="Z94" s="47"/>
    </row>
    <row r="95" spans="1:26" ht="12.75" customHeight="1">
      <c r="A95" s="91">
        <v>4</v>
      </c>
      <c r="B95" s="91" t="s">
        <v>363</v>
      </c>
      <c r="C95" s="91">
        <v>46</v>
      </c>
      <c r="D95" s="32" t="s">
        <v>1737</v>
      </c>
      <c r="E95" s="32">
        <v>462</v>
      </c>
      <c r="F95" s="32" t="s">
        <v>1782</v>
      </c>
      <c r="G95" s="32" t="s">
        <v>1783</v>
      </c>
      <c r="H95" s="33" t="s">
        <v>1784</v>
      </c>
      <c r="I95" s="29"/>
      <c r="J95" s="31" t="s">
        <v>1785</v>
      </c>
      <c r="K95" s="36"/>
      <c r="L95" s="38" t="s">
        <v>1786</v>
      </c>
      <c r="M95" s="38" t="s">
        <v>1787</v>
      </c>
      <c r="N95" s="28" t="s">
        <v>1790</v>
      </c>
      <c r="O95" s="31" t="s">
        <v>1792</v>
      </c>
      <c r="P95" s="31" t="s">
        <v>1794</v>
      </c>
      <c r="Q95" s="40" t="s">
        <v>1784</v>
      </c>
      <c r="R95" s="42"/>
      <c r="S95" s="53"/>
      <c r="T95" s="47"/>
      <c r="U95" s="47"/>
      <c r="V95" s="47"/>
      <c r="W95" s="47"/>
      <c r="X95" s="47"/>
      <c r="Y95" s="47"/>
      <c r="Z95" s="47"/>
    </row>
    <row r="96" spans="1:26" ht="12.75" customHeight="1">
      <c r="A96" s="91">
        <v>4</v>
      </c>
      <c r="B96" s="91" t="s">
        <v>363</v>
      </c>
      <c r="C96" s="91">
        <v>46</v>
      </c>
      <c r="D96" s="32" t="s">
        <v>1737</v>
      </c>
      <c r="E96" s="32">
        <v>463</v>
      </c>
      <c r="F96" s="32" t="s">
        <v>1798</v>
      </c>
      <c r="G96" s="32" t="s">
        <v>1800</v>
      </c>
      <c r="H96" s="33" t="s">
        <v>1802</v>
      </c>
      <c r="I96" s="29"/>
      <c r="J96" s="31" t="s">
        <v>1803</v>
      </c>
      <c r="K96" s="36"/>
      <c r="L96" s="38" t="s">
        <v>1786</v>
      </c>
      <c r="M96" s="38" t="s">
        <v>1787</v>
      </c>
      <c r="N96" s="28" t="s">
        <v>1790</v>
      </c>
      <c r="O96" s="31" t="s">
        <v>1792</v>
      </c>
      <c r="P96" s="31" t="s">
        <v>1794</v>
      </c>
      <c r="Q96" s="40" t="s">
        <v>1804</v>
      </c>
      <c r="R96" s="42"/>
      <c r="S96" s="53"/>
      <c r="T96" s="47"/>
      <c r="U96" s="47"/>
      <c r="V96" s="47"/>
      <c r="W96" s="47"/>
      <c r="X96" s="47"/>
      <c r="Y96" s="47"/>
      <c r="Z96" s="47"/>
    </row>
    <row r="97" spans="1:26" ht="12.75" customHeight="1">
      <c r="A97" s="91">
        <v>5</v>
      </c>
      <c r="B97" s="91" t="s">
        <v>1676</v>
      </c>
      <c r="C97" s="91">
        <v>51</v>
      </c>
      <c r="D97" s="32" t="s">
        <v>1805</v>
      </c>
      <c r="E97" s="32">
        <v>511</v>
      </c>
      <c r="F97" s="32" t="s">
        <v>675</v>
      </c>
      <c r="G97" s="56" t="s">
        <v>1816</v>
      </c>
      <c r="H97" s="33" t="s">
        <v>1088</v>
      </c>
      <c r="I97" s="29"/>
      <c r="J97" s="31" t="s">
        <v>1089</v>
      </c>
      <c r="K97" s="36"/>
      <c r="L97" s="38" t="s">
        <v>893</v>
      </c>
      <c r="M97" s="38" t="s">
        <v>895</v>
      </c>
      <c r="N97" s="28" t="s">
        <v>896</v>
      </c>
      <c r="O97" s="31" t="s">
        <v>759</v>
      </c>
      <c r="P97" s="31" t="s">
        <v>761</v>
      </c>
      <c r="Q97" s="40" t="s">
        <v>1099</v>
      </c>
      <c r="R97" s="42"/>
      <c r="S97" s="94"/>
      <c r="T97" s="47"/>
      <c r="U97" s="47"/>
      <c r="V97" s="47"/>
      <c r="W97" s="47"/>
      <c r="X97" s="47"/>
      <c r="Y97" s="47"/>
      <c r="Z97" s="47"/>
    </row>
    <row r="98" spans="1:26" ht="12.75" customHeight="1">
      <c r="A98" s="91">
        <v>5</v>
      </c>
      <c r="B98" s="91" t="s">
        <v>1676</v>
      </c>
      <c r="C98" s="91">
        <v>52</v>
      </c>
      <c r="D98" s="32" t="s">
        <v>1824</v>
      </c>
      <c r="E98" s="32">
        <v>529</v>
      </c>
      <c r="F98" s="32" t="s">
        <v>1825</v>
      </c>
      <c r="G98" s="32" t="s">
        <v>1826</v>
      </c>
      <c r="H98" s="33" t="s">
        <v>1828</v>
      </c>
      <c r="I98" s="29"/>
      <c r="J98" s="31" t="s">
        <v>1830</v>
      </c>
      <c r="K98" s="36"/>
      <c r="L98" s="38" t="s">
        <v>1135</v>
      </c>
      <c r="M98" s="38" t="s">
        <v>1137</v>
      </c>
      <c r="N98" s="28" t="s">
        <v>1139</v>
      </c>
      <c r="O98" s="31" t="s">
        <v>1140</v>
      </c>
      <c r="P98" s="31" t="s">
        <v>1141</v>
      </c>
      <c r="Q98" s="40" t="s">
        <v>1142</v>
      </c>
      <c r="R98" s="42"/>
      <c r="S98" s="89"/>
      <c r="T98" s="47"/>
      <c r="U98" s="47"/>
      <c r="V98" s="47"/>
      <c r="W98" s="47"/>
      <c r="X98" s="47"/>
      <c r="Y98" s="47"/>
      <c r="Z98" s="47"/>
    </row>
    <row r="99" spans="1:26" ht="12.75" customHeight="1">
      <c r="A99" s="91">
        <v>5</v>
      </c>
      <c r="B99" s="91" t="s">
        <v>1676</v>
      </c>
      <c r="C99" s="91">
        <v>52</v>
      </c>
      <c r="D99" s="32" t="s">
        <v>1824</v>
      </c>
      <c r="E99" s="32">
        <v>521</v>
      </c>
      <c r="F99" s="32" t="s">
        <v>1833</v>
      </c>
      <c r="G99" s="56" t="s">
        <v>1834</v>
      </c>
      <c r="H99" s="33" t="s">
        <v>1836</v>
      </c>
      <c r="I99" s="29" t="s">
        <v>1838</v>
      </c>
      <c r="J99" s="31" t="s">
        <v>1836</v>
      </c>
      <c r="K99" s="36"/>
      <c r="L99" s="38" t="s">
        <v>786</v>
      </c>
      <c r="M99" s="85" t="s">
        <v>1843</v>
      </c>
      <c r="N99" s="28" t="s">
        <v>1844</v>
      </c>
      <c r="O99" s="31" t="s">
        <v>1140</v>
      </c>
      <c r="P99" s="31" t="s">
        <v>1141</v>
      </c>
      <c r="Q99" s="40" t="s">
        <v>1846</v>
      </c>
      <c r="R99" s="42"/>
      <c r="S99" s="89"/>
      <c r="T99" s="47"/>
      <c r="U99" s="47"/>
      <c r="V99" s="47"/>
      <c r="W99" s="47"/>
      <c r="X99" s="47"/>
      <c r="Y99" s="47"/>
      <c r="Z99" s="47"/>
    </row>
    <row r="100" spans="1:26" ht="12.75" customHeight="1">
      <c r="A100" s="91">
        <v>5</v>
      </c>
      <c r="B100" s="91" t="s">
        <v>1676</v>
      </c>
      <c r="C100" s="91">
        <v>52</v>
      </c>
      <c r="D100" s="32" t="s">
        <v>1824</v>
      </c>
      <c r="E100" s="32">
        <v>521</v>
      </c>
      <c r="F100" s="32" t="s">
        <v>1833</v>
      </c>
      <c r="G100" s="56" t="s">
        <v>1834</v>
      </c>
      <c r="H100" s="33" t="s">
        <v>1850</v>
      </c>
      <c r="I100" s="29"/>
      <c r="J100" s="31" t="s">
        <v>1850</v>
      </c>
      <c r="K100" s="36"/>
      <c r="L100" s="38" t="s">
        <v>1851</v>
      </c>
      <c r="M100" s="38" t="s">
        <v>1852</v>
      </c>
      <c r="N100" s="28" t="s">
        <v>1853</v>
      </c>
      <c r="O100" s="31" t="s">
        <v>1854</v>
      </c>
      <c r="P100" s="31" t="s">
        <v>1855</v>
      </c>
      <c r="Q100" s="40" t="s">
        <v>1856</v>
      </c>
      <c r="R100" s="42"/>
      <c r="S100" s="89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91">
        <v>5</v>
      </c>
      <c r="B101" s="91" t="s">
        <v>1676</v>
      </c>
      <c r="C101" s="91">
        <v>52</v>
      </c>
      <c r="D101" s="32" t="s">
        <v>1824</v>
      </c>
      <c r="E101" s="32">
        <v>521</v>
      </c>
      <c r="F101" s="32" t="s">
        <v>1833</v>
      </c>
      <c r="G101" s="56" t="s">
        <v>1834</v>
      </c>
      <c r="H101" s="66" t="s">
        <v>1860</v>
      </c>
      <c r="I101" s="29"/>
      <c r="J101" s="34" t="s">
        <v>1862</v>
      </c>
      <c r="K101" s="36"/>
      <c r="L101" s="38" t="s">
        <v>1851</v>
      </c>
      <c r="M101" s="38" t="s">
        <v>1852</v>
      </c>
      <c r="N101" s="28" t="s">
        <v>1853</v>
      </c>
      <c r="O101" s="31" t="s">
        <v>1854</v>
      </c>
      <c r="P101" s="31" t="s">
        <v>1855</v>
      </c>
      <c r="Q101" s="40" t="s">
        <v>1856</v>
      </c>
      <c r="R101" s="42"/>
      <c r="S101" s="89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91">
        <v>5</v>
      </c>
      <c r="B102" s="91" t="s">
        <v>1676</v>
      </c>
      <c r="C102" s="91">
        <v>52</v>
      </c>
      <c r="D102" s="32" t="s">
        <v>1824</v>
      </c>
      <c r="E102" s="32">
        <v>521</v>
      </c>
      <c r="F102" s="32" t="s">
        <v>1833</v>
      </c>
      <c r="G102" s="56" t="s">
        <v>1834</v>
      </c>
      <c r="H102" s="33" t="s">
        <v>1869</v>
      </c>
      <c r="I102" s="29"/>
      <c r="J102" s="31" t="s">
        <v>1869</v>
      </c>
      <c r="K102" s="36"/>
      <c r="L102" s="38" t="s">
        <v>1851</v>
      </c>
      <c r="M102" s="38" t="s">
        <v>1852</v>
      </c>
      <c r="N102" s="28" t="s">
        <v>1853</v>
      </c>
      <c r="O102" s="31" t="s">
        <v>1854</v>
      </c>
      <c r="P102" s="31" t="s">
        <v>1855</v>
      </c>
      <c r="Q102" s="40" t="s">
        <v>1856</v>
      </c>
      <c r="R102" s="42"/>
      <c r="S102" s="89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91">
        <v>5</v>
      </c>
      <c r="B103" s="91" t="s">
        <v>1676</v>
      </c>
      <c r="C103" s="91">
        <v>52</v>
      </c>
      <c r="D103" s="32" t="s">
        <v>1824</v>
      </c>
      <c r="E103" s="32">
        <v>521</v>
      </c>
      <c r="F103" s="32" t="s">
        <v>1833</v>
      </c>
      <c r="G103" s="56" t="s">
        <v>1834</v>
      </c>
      <c r="H103" s="33" t="s">
        <v>1881</v>
      </c>
      <c r="I103" s="29"/>
      <c r="J103" s="31" t="s">
        <v>1882</v>
      </c>
      <c r="K103" s="36"/>
      <c r="L103" s="38" t="s">
        <v>1883</v>
      </c>
      <c r="M103" s="38" t="s">
        <v>1884</v>
      </c>
      <c r="N103" s="29" t="s">
        <v>1885</v>
      </c>
      <c r="O103" s="31" t="s">
        <v>1347</v>
      </c>
      <c r="P103" s="31" t="s">
        <v>1348</v>
      </c>
      <c r="Q103" s="40" t="s">
        <v>1887</v>
      </c>
      <c r="R103" s="42"/>
      <c r="S103" s="89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91">
        <v>5</v>
      </c>
      <c r="B104" s="91" t="s">
        <v>1676</v>
      </c>
      <c r="C104" s="91">
        <v>52</v>
      </c>
      <c r="D104" s="32" t="s">
        <v>1824</v>
      </c>
      <c r="E104" s="32">
        <v>521</v>
      </c>
      <c r="F104" s="32" t="s">
        <v>1833</v>
      </c>
      <c r="G104" s="56" t="s">
        <v>1834</v>
      </c>
      <c r="H104" s="33" t="s">
        <v>1888</v>
      </c>
      <c r="I104" s="29"/>
      <c r="J104" s="31" t="s">
        <v>1889</v>
      </c>
      <c r="K104" s="36"/>
      <c r="L104" s="38" t="s">
        <v>1890</v>
      </c>
      <c r="M104" s="38" t="s">
        <v>1891</v>
      </c>
      <c r="N104" s="29" t="s">
        <v>1888</v>
      </c>
      <c r="O104" s="31" t="s">
        <v>1347</v>
      </c>
      <c r="P104" s="31" t="s">
        <v>1348</v>
      </c>
      <c r="Q104" s="40" t="s">
        <v>1894</v>
      </c>
      <c r="R104" s="42"/>
      <c r="S104" s="89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91">
        <v>5</v>
      </c>
      <c r="B105" s="91" t="s">
        <v>1676</v>
      </c>
      <c r="C105" s="91">
        <v>52</v>
      </c>
      <c r="D105" s="32" t="s">
        <v>1824</v>
      </c>
      <c r="E105" s="32">
        <v>521</v>
      </c>
      <c r="F105" s="32" t="s">
        <v>1833</v>
      </c>
      <c r="G105" s="56" t="s">
        <v>1834</v>
      </c>
      <c r="H105" s="33" t="s">
        <v>1899</v>
      </c>
      <c r="I105" s="28" t="s">
        <v>1901</v>
      </c>
      <c r="J105" s="31" t="s">
        <v>1902</v>
      </c>
      <c r="K105" s="36"/>
      <c r="L105" s="38" t="s">
        <v>1904</v>
      </c>
      <c r="M105" s="38" t="s">
        <v>1899</v>
      </c>
      <c r="N105" s="28" t="s">
        <v>1908</v>
      </c>
      <c r="O105" s="31" t="s">
        <v>1347</v>
      </c>
      <c r="P105" s="31"/>
      <c r="Q105" s="40"/>
      <c r="R105" s="42"/>
      <c r="S105" s="89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91">
        <v>5</v>
      </c>
      <c r="B106" s="91" t="s">
        <v>1676</v>
      </c>
      <c r="C106" s="91">
        <v>52</v>
      </c>
      <c r="D106" s="32" t="s">
        <v>1824</v>
      </c>
      <c r="E106" s="32">
        <v>522</v>
      </c>
      <c r="F106" s="32" t="s">
        <v>1911</v>
      </c>
      <c r="G106" s="32" t="s">
        <v>1912</v>
      </c>
      <c r="H106" s="33" t="s">
        <v>1913</v>
      </c>
      <c r="I106" s="28" t="s">
        <v>1914</v>
      </c>
      <c r="J106" s="31" t="s">
        <v>1915</v>
      </c>
      <c r="K106" s="36"/>
      <c r="L106" s="38" t="s">
        <v>1551</v>
      </c>
      <c r="M106" s="38" t="s">
        <v>1552</v>
      </c>
      <c r="N106" s="28" t="s">
        <v>1553</v>
      </c>
      <c r="O106" s="31" t="s">
        <v>1240</v>
      </c>
      <c r="P106" s="31" t="s">
        <v>1241</v>
      </c>
      <c r="Q106" s="40" t="s">
        <v>1576</v>
      </c>
      <c r="R106" s="42"/>
      <c r="S106" s="89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91">
        <v>5</v>
      </c>
      <c r="B107" s="91" t="s">
        <v>1676</v>
      </c>
      <c r="C107" s="91">
        <v>53</v>
      </c>
      <c r="D107" s="32" t="s">
        <v>1918</v>
      </c>
      <c r="E107" s="32">
        <v>534</v>
      </c>
      <c r="F107" s="32" t="s">
        <v>1919</v>
      </c>
      <c r="G107" s="32"/>
      <c r="H107" s="33" t="s">
        <v>1920</v>
      </c>
      <c r="I107" s="29"/>
      <c r="J107" s="31" t="s">
        <v>1922</v>
      </c>
      <c r="K107" s="36"/>
      <c r="L107" s="38" t="s">
        <v>1851</v>
      </c>
      <c r="M107" s="38" t="s">
        <v>1852</v>
      </c>
      <c r="N107" s="28" t="s">
        <v>1853</v>
      </c>
      <c r="O107" s="31" t="s">
        <v>1854</v>
      </c>
      <c r="P107" s="31" t="s">
        <v>1855</v>
      </c>
      <c r="Q107" s="40" t="s">
        <v>1929</v>
      </c>
      <c r="R107" s="42"/>
      <c r="S107" s="53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91">
        <v>5</v>
      </c>
      <c r="B108" s="91" t="s">
        <v>1676</v>
      </c>
      <c r="C108" s="91">
        <v>53</v>
      </c>
      <c r="D108" s="32" t="s">
        <v>1918</v>
      </c>
      <c r="E108" s="32">
        <v>534</v>
      </c>
      <c r="F108" s="32" t="s">
        <v>1919</v>
      </c>
      <c r="G108" s="32"/>
      <c r="H108" s="33" t="s">
        <v>1930</v>
      </c>
      <c r="I108" s="29"/>
      <c r="J108" s="31" t="s">
        <v>1931</v>
      </c>
      <c r="K108" s="36"/>
      <c r="L108" s="38" t="s">
        <v>1935</v>
      </c>
      <c r="M108" s="38" t="s">
        <v>1936</v>
      </c>
      <c r="N108" s="28" t="s">
        <v>1937</v>
      </c>
      <c r="O108" s="31" t="s">
        <v>1938</v>
      </c>
      <c r="P108" s="31" t="s">
        <v>1939</v>
      </c>
      <c r="Q108" s="40" t="s">
        <v>1940</v>
      </c>
      <c r="R108" s="42"/>
      <c r="S108" s="53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91">
        <v>5</v>
      </c>
      <c r="B109" s="91" t="s">
        <v>1676</v>
      </c>
      <c r="C109" s="91">
        <v>53</v>
      </c>
      <c r="D109" s="32" t="s">
        <v>1918</v>
      </c>
      <c r="E109" s="32">
        <v>532</v>
      </c>
      <c r="F109" s="32" t="s">
        <v>1942</v>
      </c>
      <c r="G109" s="32"/>
      <c r="H109" s="33" t="s">
        <v>1944</v>
      </c>
      <c r="I109" s="29"/>
      <c r="J109" s="31" t="s">
        <v>1945</v>
      </c>
      <c r="K109" s="36"/>
      <c r="L109" s="38" t="s">
        <v>1947</v>
      </c>
      <c r="M109" s="38" t="s">
        <v>1948</v>
      </c>
      <c r="N109" s="28" t="s">
        <v>1952</v>
      </c>
      <c r="O109" s="31" t="s">
        <v>1854</v>
      </c>
      <c r="P109" s="31" t="s">
        <v>1855</v>
      </c>
      <c r="Q109" s="40" t="s">
        <v>1955</v>
      </c>
      <c r="R109" s="42"/>
      <c r="S109" s="53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91">
        <v>5</v>
      </c>
      <c r="B110" s="91" t="s">
        <v>1676</v>
      </c>
      <c r="C110" s="91">
        <v>54</v>
      </c>
      <c r="D110" s="32" t="s">
        <v>1960</v>
      </c>
      <c r="E110" s="32">
        <v>542</v>
      </c>
      <c r="F110" s="32" t="s">
        <v>1961</v>
      </c>
      <c r="G110" s="56" t="s">
        <v>1962</v>
      </c>
      <c r="H110" s="33" t="s">
        <v>1964</v>
      </c>
      <c r="I110" s="29"/>
      <c r="J110" s="31" t="s">
        <v>1965</v>
      </c>
      <c r="K110" s="36"/>
      <c r="L110" s="38" t="s">
        <v>1935</v>
      </c>
      <c r="M110" s="38" t="s">
        <v>1936</v>
      </c>
      <c r="N110" s="28" t="s">
        <v>1937</v>
      </c>
      <c r="O110" s="31" t="s">
        <v>1938</v>
      </c>
      <c r="P110" s="31" t="s">
        <v>1939</v>
      </c>
      <c r="Q110" s="40" t="s">
        <v>1968</v>
      </c>
      <c r="R110" s="42"/>
      <c r="S110" s="53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91">
        <v>5</v>
      </c>
      <c r="B111" s="91" t="s">
        <v>1676</v>
      </c>
      <c r="C111" s="91">
        <v>54</v>
      </c>
      <c r="D111" s="32" t="s">
        <v>1960</v>
      </c>
      <c r="E111" s="32">
        <v>542</v>
      </c>
      <c r="F111" s="32" t="s">
        <v>1961</v>
      </c>
      <c r="G111" s="56" t="s">
        <v>1962</v>
      </c>
      <c r="H111" s="33" t="s">
        <v>1972</v>
      </c>
      <c r="I111" s="29"/>
      <c r="J111" s="31" t="s">
        <v>1973</v>
      </c>
      <c r="K111" s="36"/>
      <c r="L111" s="38" t="s">
        <v>1935</v>
      </c>
      <c r="M111" s="38" t="s">
        <v>1936</v>
      </c>
      <c r="N111" s="28" t="s">
        <v>1937</v>
      </c>
      <c r="O111" s="31" t="s">
        <v>1938</v>
      </c>
      <c r="P111" s="31" t="s">
        <v>1939</v>
      </c>
      <c r="Q111" s="40" t="s">
        <v>1968</v>
      </c>
      <c r="R111" s="42"/>
      <c r="S111" s="53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91">
        <v>5</v>
      </c>
      <c r="B112" s="91" t="s">
        <v>1676</v>
      </c>
      <c r="C112" s="91">
        <v>54</v>
      </c>
      <c r="D112" s="32" t="s">
        <v>1960</v>
      </c>
      <c r="E112" s="32">
        <v>542</v>
      </c>
      <c r="F112" s="32" t="s">
        <v>1961</v>
      </c>
      <c r="G112" s="56" t="s">
        <v>1962</v>
      </c>
      <c r="H112" s="33" t="s">
        <v>1980</v>
      </c>
      <c r="I112" s="29"/>
      <c r="J112" s="31" t="s">
        <v>1988</v>
      </c>
      <c r="K112" s="36"/>
      <c r="L112" s="38" t="s">
        <v>1935</v>
      </c>
      <c r="M112" s="38" t="s">
        <v>1936</v>
      </c>
      <c r="N112" s="28" t="s">
        <v>1937</v>
      </c>
      <c r="O112" s="31" t="s">
        <v>1854</v>
      </c>
      <c r="P112" s="31" t="s">
        <v>1855</v>
      </c>
      <c r="Q112" s="40" t="s">
        <v>1955</v>
      </c>
      <c r="R112" s="42"/>
      <c r="S112" s="53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91">
        <v>5</v>
      </c>
      <c r="B113" s="91" t="s">
        <v>1676</v>
      </c>
      <c r="C113" s="91">
        <v>54</v>
      </c>
      <c r="D113" s="32" t="s">
        <v>1960</v>
      </c>
      <c r="E113" s="32">
        <v>542</v>
      </c>
      <c r="F113" s="32" t="s">
        <v>1961</v>
      </c>
      <c r="G113" s="56" t="s">
        <v>1962</v>
      </c>
      <c r="H113" s="33" t="s">
        <v>1992</v>
      </c>
      <c r="I113" s="29"/>
      <c r="J113" s="34" t="s">
        <v>1993</v>
      </c>
      <c r="K113" s="36"/>
      <c r="L113" s="38" t="s">
        <v>1935</v>
      </c>
      <c r="M113" s="38" t="s">
        <v>1936</v>
      </c>
      <c r="N113" s="28" t="s">
        <v>1937</v>
      </c>
      <c r="O113" s="31" t="s">
        <v>1854</v>
      </c>
      <c r="P113" s="31" t="s">
        <v>1855</v>
      </c>
      <c r="Q113" s="40" t="s">
        <v>1955</v>
      </c>
      <c r="R113" s="42"/>
      <c r="S113" s="53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91">
        <v>5</v>
      </c>
      <c r="B114" s="91" t="s">
        <v>1676</v>
      </c>
      <c r="C114" s="91">
        <v>54</v>
      </c>
      <c r="D114" s="32" t="s">
        <v>1960</v>
      </c>
      <c r="E114" s="32">
        <v>542</v>
      </c>
      <c r="F114" s="32" t="s">
        <v>1961</v>
      </c>
      <c r="G114" s="56" t="s">
        <v>1962</v>
      </c>
      <c r="H114" s="33" t="s">
        <v>1996</v>
      </c>
      <c r="I114" s="29"/>
      <c r="J114" s="31" t="s">
        <v>1997</v>
      </c>
      <c r="K114" s="36"/>
      <c r="L114" s="38" t="s">
        <v>1551</v>
      </c>
      <c r="M114" s="38" t="s">
        <v>1552</v>
      </c>
      <c r="N114" s="28" t="s">
        <v>1553</v>
      </c>
      <c r="O114" s="31" t="s">
        <v>1240</v>
      </c>
      <c r="P114" s="31" t="s">
        <v>1241</v>
      </c>
      <c r="Q114" s="40" t="s">
        <v>1242</v>
      </c>
      <c r="R114" s="42"/>
      <c r="S114" s="53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91">
        <v>5</v>
      </c>
      <c r="B115" s="91" t="s">
        <v>1676</v>
      </c>
      <c r="C115" s="91">
        <v>54</v>
      </c>
      <c r="D115" s="32" t="s">
        <v>1960</v>
      </c>
      <c r="E115" s="32">
        <v>542</v>
      </c>
      <c r="F115" s="32" t="s">
        <v>1961</v>
      </c>
      <c r="G115" s="56" t="s">
        <v>1962</v>
      </c>
      <c r="H115" s="33" t="s">
        <v>2001</v>
      </c>
      <c r="I115" s="29" t="s">
        <v>2003</v>
      </c>
      <c r="J115" s="34" t="s">
        <v>2004</v>
      </c>
      <c r="K115" s="36" t="s">
        <v>2006</v>
      </c>
      <c r="L115" s="38" t="s">
        <v>1586</v>
      </c>
      <c r="M115" s="38" t="s">
        <v>2008</v>
      </c>
      <c r="N115" s="28" t="s">
        <v>1588</v>
      </c>
      <c r="O115" s="31" t="s">
        <v>559</v>
      </c>
      <c r="P115" s="31" t="s">
        <v>625</v>
      </c>
      <c r="Q115" s="40" t="s">
        <v>2012</v>
      </c>
      <c r="R115" s="42"/>
      <c r="S115" s="53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91">
        <v>5</v>
      </c>
      <c r="B116" s="91" t="s">
        <v>1676</v>
      </c>
      <c r="C116" s="91">
        <v>54</v>
      </c>
      <c r="D116" s="32" t="s">
        <v>1960</v>
      </c>
      <c r="E116" s="32">
        <v>542</v>
      </c>
      <c r="F116" s="32" t="s">
        <v>1961</v>
      </c>
      <c r="G116" s="56" t="s">
        <v>1962</v>
      </c>
      <c r="H116" s="33" t="s">
        <v>2014</v>
      </c>
      <c r="I116" s="29" t="s">
        <v>2016</v>
      </c>
      <c r="J116" s="31" t="s">
        <v>2018</v>
      </c>
      <c r="K116" s="36" t="s">
        <v>2020</v>
      </c>
      <c r="L116" s="38" t="s">
        <v>2021</v>
      </c>
      <c r="M116" s="38" t="s">
        <v>2022</v>
      </c>
      <c r="N116" s="28" t="s">
        <v>2024</v>
      </c>
      <c r="O116" s="31" t="s">
        <v>1240</v>
      </c>
      <c r="P116" s="31" t="s">
        <v>1241</v>
      </c>
      <c r="Q116" s="40" t="s">
        <v>1242</v>
      </c>
      <c r="R116" s="42"/>
      <c r="S116" s="53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91">
        <v>5</v>
      </c>
      <c r="B117" s="91" t="s">
        <v>1676</v>
      </c>
      <c r="C117" s="91">
        <v>54</v>
      </c>
      <c r="D117" s="32" t="s">
        <v>1960</v>
      </c>
      <c r="E117" s="32">
        <v>542</v>
      </c>
      <c r="F117" s="32" t="s">
        <v>1961</v>
      </c>
      <c r="G117" s="56" t="s">
        <v>1962</v>
      </c>
      <c r="H117" s="33" t="s">
        <v>2028</v>
      </c>
      <c r="I117" s="29"/>
      <c r="J117" s="31" t="s">
        <v>2030</v>
      </c>
      <c r="K117" s="36"/>
      <c r="L117" s="38" t="s">
        <v>1586</v>
      </c>
      <c r="M117" s="38" t="s">
        <v>2008</v>
      </c>
      <c r="N117" s="29"/>
      <c r="O117" s="31" t="s">
        <v>559</v>
      </c>
      <c r="P117" s="31" t="s">
        <v>625</v>
      </c>
      <c r="Q117" s="40" t="s">
        <v>2012</v>
      </c>
      <c r="R117" s="42"/>
      <c r="S117" s="53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91">
        <v>5</v>
      </c>
      <c r="B118" s="91" t="s">
        <v>1676</v>
      </c>
      <c r="C118" s="91">
        <v>54</v>
      </c>
      <c r="D118" s="32" t="s">
        <v>1960</v>
      </c>
      <c r="E118" s="32">
        <v>542</v>
      </c>
      <c r="F118" s="32" t="s">
        <v>1961</v>
      </c>
      <c r="G118" s="56" t="s">
        <v>1962</v>
      </c>
      <c r="H118" s="66" t="s">
        <v>2032</v>
      </c>
      <c r="I118" s="29" t="s">
        <v>2033</v>
      </c>
      <c r="J118" s="34" t="s">
        <v>2034</v>
      </c>
      <c r="K118" s="36" t="s">
        <v>2036</v>
      </c>
      <c r="L118" s="38" t="s">
        <v>1586</v>
      </c>
      <c r="M118" s="38" t="s">
        <v>2008</v>
      </c>
      <c r="N118" s="28" t="s">
        <v>1588</v>
      </c>
      <c r="O118" s="31" t="s">
        <v>559</v>
      </c>
      <c r="P118" s="31" t="s">
        <v>625</v>
      </c>
      <c r="Q118" s="40" t="s">
        <v>2012</v>
      </c>
      <c r="R118" s="42"/>
      <c r="S118" s="53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91">
        <v>5</v>
      </c>
      <c r="B119" s="91" t="s">
        <v>1676</v>
      </c>
      <c r="C119" s="91">
        <v>54</v>
      </c>
      <c r="D119" s="32" t="s">
        <v>1960</v>
      </c>
      <c r="E119" s="32">
        <v>542</v>
      </c>
      <c r="F119" s="32" t="s">
        <v>1961</v>
      </c>
      <c r="G119" s="56" t="s">
        <v>1962</v>
      </c>
      <c r="H119" s="66" t="s">
        <v>2044</v>
      </c>
      <c r="I119" s="29" t="s">
        <v>2046</v>
      </c>
      <c r="J119" s="34" t="s">
        <v>2047</v>
      </c>
      <c r="K119" s="36" t="s">
        <v>2048</v>
      </c>
      <c r="L119" s="38" t="s">
        <v>1586</v>
      </c>
      <c r="M119" s="38" t="s">
        <v>2008</v>
      </c>
      <c r="N119" s="28" t="s">
        <v>1588</v>
      </c>
      <c r="O119" s="31" t="s">
        <v>559</v>
      </c>
      <c r="P119" s="31" t="s">
        <v>625</v>
      </c>
      <c r="Q119" s="40" t="s">
        <v>2012</v>
      </c>
      <c r="R119" s="42"/>
      <c r="S119" s="44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91">
        <v>5</v>
      </c>
      <c r="B120" s="91" t="s">
        <v>1676</v>
      </c>
      <c r="C120" s="91">
        <v>54</v>
      </c>
      <c r="D120" s="32" t="s">
        <v>1960</v>
      </c>
      <c r="E120" s="32">
        <v>542</v>
      </c>
      <c r="F120" s="32" t="s">
        <v>1961</v>
      </c>
      <c r="G120" s="56" t="s">
        <v>1962</v>
      </c>
      <c r="H120" s="66" t="s">
        <v>2053</v>
      </c>
      <c r="I120" s="29" t="s">
        <v>2055</v>
      </c>
      <c r="J120" s="34" t="s">
        <v>2057</v>
      </c>
      <c r="K120" s="36" t="s">
        <v>2058</v>
      </c>
      <c r="L120" s="38" t="s">
        <v>1586</v>
      </c>
      <c r="M120" s="38" t="s">
        <v>2008</v>
      </c>
      <c r="N120" s="28" t="s">
        <v>1588</v>
      </c>
      <c r="O120" s="31" t="s">
        <v>559</v>
      </c>
      <c r="P120" s="31" t="s">
        <v>625</v>
      </c>
      <c r="Q120" s="40" t="s">
        <v>2012</v>
      </c>
      <c r="R120" s="42"/>
      <c r="S120" s="53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91">
        <v>5</v>
      </c>
      <c r="B121" s="91" t="s">
        <v>1676</v>
      </c>
      <c r="C121" s="91">
        <v>54</v>
      </c>
      <c r="D121" s="32" t="s">
        <v>1960</v>
      </c>
      <c r="E121" s="32">
        <v>542</v>
      </c>
      <c r="F121" s="32" t="s">
        <v>1961</v>
      </c>
      <c r="G121" s="56" t="s">
        <v>1962</v>
      </c>
      <c r="H121" s="66" t="s">
        <v>2069</v>
      </c>
      <c r="I121" s="29" t="s">
        <v>2071</v>
      </c>
      <c r="J121" s="34" t="s">
        <v>2072</v>
      </c>
      <c r="K121" s="36" t="s">
        <v>2074</v>
      </c>
      <c r="L121" s="38" t="s">
        <v>1586</v>
      </c>
      <c r="M121" s="38" t="s">
        <v>2008</v>
      </c>
      <c r="N121" s="28" t="s">
        <v>1588</v>
      </c>
      <c r="O121" s="31" t="s">
        <v>559</v>
      </c>
      <c r="P121" s="31" t="s">
        <v>625</v>
      </c>
      <c r="Q121" s="40" t="s">
        <v>2012</v>
      </c>
      <c r="R121" s="42"/>
      <c r="S121" s="53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91">
        <v>5</v>
      </c>
      <c r="B122" s="91" t="s">
        <v>1676</v>
      </c>
      <c r="C122" s="91">
        <v>54</v>
      </c>
      <c r="D122" s="32" t="s">
        <v>1960</v>
      </c>
      <c r="E122" s="32">
        <v>542</v>
      </c>
      <c r="F122" s="32" t="s">
        <v>1961</v>
      </c>
      <c r="G122" s="56" t="s">
        <v>1962</v>
      </c>
      <c r="H122" s="66" t="s">
        <v>2089</v>
      </c>
      <c r="I122" s="29" t="s">
        <v>2003</v>
      </c>
      <c r="J122" s="34" t="s">
        <v>2091</v>
      </c>
      <c r="K122" s="36" t="s">
        <v>2006</v>
      </c>
      <c r="L122" s="38" t="s">
        <v>1586</v>
      </c>
      <c r="M122" s="38" t="s">
        <v>2008</v>
      </c>
      <c r="N122" s="28" t="s">
        <v>1588</v>
      </c>
      <c r="O122" s="31" t="s">
        <v>559</v>
      </c>
      <c r="P122" s="31" t="s">
        <v>625</v>
      </c>
      <c r="Q122" s="40" t="s">
        <v>2012</v>
      </c>
      <c r="R122" s="42"/>
      <c r="S122" s="53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91">
        <v>5</v>
      </c>
      <c r="B123" s="91" t="s">
        <v>1676</v>
      </c>
      <c r="C123" s="91">
        <v>54</v>
      </c>
      <c r="D123" s="32" t="s">
        <v>1960</v>
      </c>
      <c r="E123" s="32">
        <v>542</v>
      </c>
      <c r="F123" s="32" t="s">
        <v>1961</v>
      </c>
      <c r="G123" s="56" t="s">
        <v>1962</v>
      </c>
      <c r="H123" s="66" t="s">
        <v>2099</v>
      </c>
      <c r="I123" s="29" t="s">
        <v>2100</v>
      </c>
      <c r="J123" s="34" t="s">
        <v>2101</v>
      </c>
      <c r="K123" s="36" t="s">
        <v>2102</v>
      </c>
      <c r="L123" s="38" t="s">
        <v>1586</v>
      </c>
      <c r="M123" s="38" t="s">
        <v>2008</v>
      </c>
      <c r="N123" s="28" t="s">
        <v>1588</v>
      </c>
      <c r="O123" s="31" t="s">
        <v>559</v>
      </c>
      <c r="P123" s="31" t="s">
        <v>625</v>
      </c>
      <c r="Q123" s="40" t="s">
        <v>2012</v>
      </c>
      <c r="R123" s="42"/>
      <c r="S123" s="53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91">
        <v>5</v>
      </c>
      <c r="B124" s="91" t="s">
        <v>1676</v>
      </c>
      <c r="C124" s="91">
        <v>54</v>
      </c>
      <c r="D124" s="32" t="s">
        <v>1960</v>
      </c>
      <c r="E124" s="32">
        <v>542</v>
      </c>
      <c r="F124" s="32" t="s">
        <v>1961</v>
      </c>
      <c r="G124" s="56" t="s">
        <v>1962</v>
      </c>
      <c r="H124" s="66" t="s">
        <v>2109</v>
      </c>
      <c r="I124" s="29" t="s">
        <v>2110</v>
      </c>
      <c r="J124" s="34" t="s">
        <v>2111</v>
      </c>
      <c r="K124" s="36" t="s">
        <v>2112</v>
      </c>
      <c r="L124" s="38" t="s">
        <v>1586</v>
      </c>
      <c r="M124" s="38" t="s">
        <v>2008</v>
      </c>
      <c r="N124" s="28" t="s">
        <v>1588</v>
      </c>
      <c r="O124" s="31" t="s">
        <v>559</v>
      </c>
      <c r="P124" s="31" t="s">
        <v>625</v>
      </c>
      <c r="Q124" s="40" t="s">
        <v>2012</v>
      </c>
      <c r="R124" s="42"/>
      <c r="S124" s="53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91">
        <v>5</v>
      </c>
      <c r="B125" s="91" t="s">
        <v>1676</v>
      </c>
      <c r="C125" s="91">
        <v>54</v>
      </c>
      <c r="D125" s="32" t="s">
        <v>1960</v>
      </c>
      <c r="E125" s="32">
        <v>542</v>
      </c>
      <c r="F125" s="32" t="s">
        <v>1961</v>
      </c>
      <c r="G125" s="56" t="s">
        <v>1962</v>
      </c>
      <c r="H125" s="33" t="s">
        <v>2117</v>
      </c>
      <c r="I125" s="29" t="s">
        <v>2119</v>
      </c>
      <c r="J125" s="34" t="s">
        <v>2122</v>
      </c>
      <c r="K125" s="36" t="s">
        <v>2126</v>
      </c>
      <c r="L125" s="38" t="s">
        <v>1586</v>
      </c>
      <c r="M125" s="38" t="s">
        <v>2008</v>
      </c>
      <c r="N125" s="28" t="s">
        <v>1588</v>
      </c>
      <c r="O125" s="31" t="s">
        <v>559</v>
      </c>
      <c r="P125" s="31" t="s">
        <v>625</v>
      </c>
      <c r="Q125" s="40" t="s">
        <v>2012</v>
      </c>
      <c r="R125" s="42"/>
      <c r="S125" s="53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91">
        <v>5</v>
      </c>
      <c r="B126" s="91" t="s">
        <v>1676</v>
      </c>
      <c r="C126" s="91">
        <v>54</v>
      </c>
      <c r="D126" s="32" t="s">
        <v>1960</v>
      </c>
      <c r="E126" s="32">
        <v>542</v>
      </c>
      <c r="F126" s="32" t="s">
        <v>1961</v>
      </c>
      <c r="G126" s="56" t="s">
        <v>1962</v>
      </c>
      <c r="H126" s="66" t="s">
        <v>2131</v>
      </c>
      <c r="I126" s="29" t="s">
        <v>2132</v>
      </c>
      <c r="J126" s="34" t="s">
        <v>2133</v>
      </c>
      <c r="K126" s="36" t="s">
        <v>2134</v>
      </c>
      <c r="L126" s="38" t="s">
        <v>1586</v>
      </c>
      <c r="M126" s="38" t="s">
        <v>2008</v>
      </c>
      <c r="N126" s="28" t="s">
        <v>1588</v>
      </c>
      <c r="O126" s="31" t="s">
        <v>559</v>
      </c>
      <c r="P126" s="31" t="s">
        <v>625</v>
      </c>
      <c r="Q126" s="40" t="s">
        <v>2012</v>
      </c>
      <c r="R126" s="42"/>
      <c r="S126" s="53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91">
        <v>5</v>
      </c>
      <c r="B127" s="91" t="s">
        <v>1676</v>
      </c>
      <c r="C127" s="91">
        <v>54</v>
      </c>
      <c r="D127" s="32" t="s">
        <v>1960</v>
      </c>
      <c r="E127" s="32">
        <v>542</v>
      </c>
      <c r="F127" s="32" t="s">
        <v>1961</v>
      </c>
      <c r="G127" s="56" t="s">
        <v>1962</v>
      </c>
      <c r="H127" s="66" t="s">
        <v>2137</v>
      </c>
      <c r="I127" s="29" t="s">
        <v>2138</v>
      </c>
      <c r="J127" s="34" t="s">
        <v>2139</v>
      </c>
      <c r="K127" s="36" t="s">
        <v>2142</v>
      </c>
      <c r="L127" s="38" t="s">
        <v>1586</v>
      </c>
      <c r="M127" s="38" t="s">
        <v>2008</v>
      </c>
      <c r="N127" s="28" t="s">
        <v>1588</v>
      </c>
      <c r="O127" s="31" t="s">
        <v>559</v>
      </c>
      <c r="P127" s="31" t="s">
        <v>625</v>
      </c>
      <c r="Q127" s="40" t="s">
        <v>2012</v>
      </c>
      <c r="R127" s="42"/>
      <c r="S127" s="53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91">
        <v>5</v>
      </c>
      <c r="B128" s="91" t="s">
        <v>1676</v>
      </c>
      <c r="C128" s="91">
        <v>54</v>
      </c>
      <c r="D128" s="32" t="s">
        <v>1960</v>
      </c>
      <c r="E128" s="32">
        <v>542</v>
      </c>
      <c r="F128" s="32" t="s">
        <v>1961</v>
      </c>
      <c r="G128" s="56" t="s">
        <v>1962</v>
      </c>
      <c r="H128" s="66" t="s">
        <v>2146</v>
      </c>
      <c r="I128" s="29" t="s">
        <v>2147</v>
      </c>
      <c r="J128" s="34" t="s">
        <v>2148</v>
      </c>
      <c r="K128" s="36" t="s">
        <v>2149</v>
      </c>
      <c r="L128" s="38" t="s">
        <v>1586</v>
      </c>
      <c r="M128" s="38" t="s">
        <v>2008</v>
      </c>
      <c r="N128" s="28" t="s">
        <v>1588</v>
      </c>
      <c r="O128" s="31" t="s">
        <v>559</v>
      </c>
      <c r="P128" s="31" t="s">
        <v>625</v>
      </c>
      <c r="Q128" s="40" t="s">
        <v>2012</v>
      </c>
      <c r="R128" s="42"/>
      <c r="S128" s="53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91">
        <v>5</v>
      </c>
      <c r="B129" s="91" t="s">
        <v>1676</v>
      </c>
      <c r="C129" s="91">
        <v>54</v>
      </c>
      <c r="D129" s="32" t="s">
        <v>1960</v>
      </c>
      <c r="E129" s="32">
        <v>542</v>
      </c>
      <c r="F129" s="32" t="s">
        <v>1961</v>
      </c>
      <c r="G129" s="56" t="s">
        <v>1962</v>
      </c>
      <c r="H129" s="66" t="s">
        <v>2157</v>
      </c>
      <c r="I129" s="29" t="s">
        <v>2158</v>
      </c>
      <c r="J129" s="34" t="s">
        <v>2159</v>
      </c>
      <c r="K129" s="36" t="s">
        <v>2161</v>
      </c>
      <c r="L129" s="38" t="s">
        <v>1586</v>
      </c>
      <c r="M129" s="38" t="s">
        <v>2008</v>
      </c>
      <c r="N129" s="28" t="s">
        <v>1588</v>
      </c>
      <c r="O129" s="31" t="s">
        <v>559</v>
      </c>
      <c r="P129" s="31" t="s">
        <v>625</v>
      </c>
      <c r="Q129" s="40" t="s">
        <v>2012</v>
      </c>
      <c r="R129" s="42"/>
      <c r="S129" s="53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91">
        <v>5</v>
      </c>
      <c r="B130" s="91" t="s">
        <v>1676</v>
      </c>
      <c r="C130" s="91">
        <v>54</v>
      </c>
      <c r="D130" s="32" t="s">
        <v>1960</v>
      </c>
      <c r="E130" s="32">
        <v>542</v>
      </c>
      <c r="F130" s="32" t="s">
        <v>1961</v>
      </c>
      <c r="G130" s="56" t="s">
        <v>1962</v>
      </c>
      <c r="H130" s="66" t="s">
        <v>2175</v>
      </c>
      <c r="I130" s="29" t="s">
        <v>2176</v>
      </c>
      <c r="J130" s="31" t="s">
        <v>2177</v>
      </c>
      <c r="K130" s="36" t="s">
        <v>2180</v>
      </c>
      <c r="L130" s="38" t="s">
        <v>1586</v>
      </c>
      <c r="M130" s="38" t="s">
        <v>2008</v>
      </c>
      <c r="N130" s="28" t="s">
        <v>1588</v>
      </c>
      <c r="O130" s="31" t="s">
        <v>559</v>
      </c>
      <c r="P130" s="31" t="s">
        <v>625</v>
      </c>
      <c r="Q130" s="40" t="s">
        <v>2012</v>
      </c>
      <c r="R130" s="42"/>
      <c r="S130" s="53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91">
        <v>5</v>
      </c>
      <c r="B131" s="91" t="s">
        <v>1676</v>
      </c>
      <c r="C131" s="91">
        <v>54</v>
      </c>
      <c r="D131" s="32" t="s">
        <v>1960</v>
      </c>
      <c r="E131" s="32">
        <v>542</v>
      </c>
      <c r="F131" s="32" t="s">
        <v>1961</v>
      </c>
      <c r="G131" s="56" t="s">
        <v>1962</v>
      </c>
      <c r="H131" s="33" t="s">
        <v>2187</v>
      </c>
      <c r="I131" s="29" t="s">
        <v>2188</v>
      </c>
      <c r="J131" s="31" t="s">
        <v>2189</v>
      </c>
      <c r="K131" s="36" t="s">
        <v>2190</v>
      </c>
      <c r="L131" s="38" t="s">
        <v>1551</v>
      </c>
      <c r="M131" s="38" t="s">
        <v>1552</v>
      </c>
      <c r="N131" s="28" t="s">
        <v>1553</v>
      </c>
      <c r="O131" s="31" t="s">
        <v>1240</v>
      </c>
      <c r="P131" s="31" t="s">
        <v>1241</v>
      </c>
      <c r="Q131" s="40" t="s">
        <v>1576</v>
      </c>
      <c r="R131" s="42"/>
      <c r="S131" s="53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91">
        <v>5</v>
      </c>
      <c r="B132" s="91" t="s">
        <v>1676</v>
      </c>
      <c r="C132" s="91">
        <v>54</v>
      </c>
      <c r="D132" s="32" t="s">
        <v>1960</v>
      </c>
      <c r="E132" s="32">
        <v>542</v>
      </c>
      <c r="F132" s="32" t="s">
        <v>1961</v>
      </c>
      <c r="G132" s="56" t="s">
        <v>1962</v>
      </c>
      <c r="H132" s="33" t="s">
        <v>2220</v>
      </c>
      <c r="I132" s="29" t="s">
        <v>2221</v>
      </c>
      <c r="J132" s="31" t="s">
        <v>2222</v>
      </c>
      <c r="K132" s="36"/>
      <c r="L132" s="38" t="s">
        <v>1829</v>
      </c>
      <c r="M132" s="38" t="s">
        <v>2223</v>
      </c>
      <c r="N132" s="28" t="s">
        <v>2224</v>
      </c>
      <c r="O132" s="31" t="s">
        <v>2225</v>
      </c>
      <c r="P132" s="31" t="s">
        <v>2227</v>
      </c>
      <c r="Q132" s="40" t="s">
        <v>2229</v>
      </c>
      <c r="R132" s="42"/>
      <c r="S132" s="53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91">
        <v>5</v>
      </c>
      <c r="B133" s="91" t="s">
        <v>1676</v>
      </c>
      <c r="C133" s="91">
        <v>54</v>
      </c>
      <c r="D133" s="32" t="s">
        <v>1960</v>
      </c>
      <c r="E133" s="32">
        <v>542</v>
      </c>
      <c r="F133" s="32" t="s">
        <v>1961</v>
      </c>
      <c r="G133" s="56" t="s">
        <v>1962</v>
      </c>
      <c r="H133" s="33" t="s">
        <v>2231</v>
      </c>
      <c r="I133" s="29"/>
      <c r="J133" s="31" t="s">
        <v>2233</v>
      </c>
      <c r="K133" s="36"/>
      <c r="L133" s="38" t="s">
        <v>1829</v>
      </c>
      <c r="M133" s="38" t="s">
        <v>2223</v>
      </c>
      <c r="N133" s="28" t="s">
        <v>2224</v>
      </c>
      <c r="O133" s="31" t="s">
        <v>2225</v>
      </c>
      <c r="P133" s="31" t="s">
        <v>2227</v>
      </c>
      <c r="Q133" s="40" t="s">
        <v>2241</v>
      </c>
      <c r="R133" s="42" t="s">
        <v>2242</v>
      </c>
      <c r="S133" s="53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91">
        <v>5</v>
      </c>
      <c r="B134" s="91" t="s">
        <v>1676</v>
      </c>
      <c r="C134" s="91">
        <v>54</v>
      </c>
      <c r="D134" s="32" t="s">
        <v>1960</v>
      </c>
      <c r="E134" s="32">
        <v>542</v>
      </c>
      <c r="F134" s="32" t="s">
        <v>1961</v>
      </c>
      <c r="G134" s="56" t="s">
        <v>1962</v>
      </c>
      <c r="H134" s="33" t="s">
        <v>2256</v>
      </c>
      <c r="I134" s="29" t="s">
        <v>2257</v>
      </c>
      <c r="J134" s="31" t="s">
        <v>2258</v>
      </c>
      <c r="K134" s="36" t="s">
        <v>2259</v>
      </c>
      <c r="L134" s="38" t="s">
        <v>2260</v>
      </c>
      <c r="M134" s="38" t="s">
        <v>2256</v>
      </c>
      <c r="N134" s="29" t="s">
        <v>2265</v>
      </c>
      <c r="O134" s="31" t="s">
        <v>559</v>
      </c>
      <c r="P134" s="31" t="s">
        <v>625</v>
      </c>
      <c r="Q134" s="40" t="s">
        <v>2267</v>
      </c>
      <c r="R134" s="42"/>
      <c r="S134" s="53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91">
        <v>5</v>
      </c>
      <c r="B135" s="91" t="s">
        <v>1676</v>
      </c>
      <c r="C135" s="91">
        <v>54</v>
      </c>
      <c r="D135" s="32" t="s">
        <v>1960</v>
      </c>
      <c r="E135" s="32">
        <v>542</v>
      </c>
      <c r="F135" s="32" t="s">
        <v>1961</v>
      </c>
      <c r="G135" s="56" t="s">
        <v>1962</v>
      </c>
      <c r="H135" s="33" t="s">
        <v>2269</v>
      </c>
      <c r="I135" s="29"/>
      <c r="J135" s="31"/>
      <c r="K135" s="36"/>
      <c r="L135" s="38" t="s">
        <v>1829</v>
      </c>
      <c r="M135" s="38" t="s">
        <v>2223</v>
      </c>
      <c r="N135" s="28" t="s">
        <v>2224</v>
      </c>
      <c r="O135" s="31" t="s">
        <v>2225</v>
      </c>
      <c r="P135" s="31" t="s">
        <v>2227</v>
      </c>
      <c r="Q135" s="40" t="s">
        <v>2273</v>
      </c>
      <c r="R135" s="42"/>
      <c r="S135" s="53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91">
        <v>5</v>
      </c>
      <c r="B136" s="91" t="s">
        <v>1676</v>
      </c>
      <c r="C136" s="91">
        <v>54</v>
      </c>
      <c r="D136" s="32" t="s">
        <v>1960</v>
      </c>
      <c r="E136" s="32">
        <v>542</v>
      </c>
      <c r="F136" s="32" t="s">
        <v>1961</v>
      </c>
      <c r="G136" s="56" t="s">
        <v>1962</v>
      </c>
      <c r="H136" s="66" t="s">
        <v>2279</v>
      </c>
      <c r="I136" s="29" t="s">
        <v>2280</v>
      </c>
      <c r="J136" s="31"/>
      <c r="K136" s="36"/>
      <c r="L136" s="38" t="s">
        <v>1829</v>
      </c>
      <c r="M136" s="38" t="s">
        <v>2223</v>
      </c>
      <c r="N136" s="28" t="s">
        <v>2224</v>
      </c>
      <c r="O136" s="31" t="s">
        <v>2225</v>
      </c>
      <c r="P136" s="31" t="s">
        <v>2227</v>
      </c>
      <c r="Q136" s="40" t="s">
        <v>2273</v>
      </c>
      <c r="R136" s="42"/>
      <c r="S136" s="53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91">
        <v>5</v>
      </c>
      <c r="B137" s="91" t="s">
        <v>1676</v>
      </c>
      <c r="C137" s="91">
        <v>54</v>
      </c>
      <c r="D137" s="32" t="s">
        <v>1960</v>
      </c>
      <c r="E137" s="32">
        <v>542</v>
      </c>
      <c r="F137" s="32" t="s">
        <v>1961</v>
      </c>
      <c r="G137" s="56" t="s">
        <v>1962</v>
      </c>
      <c r="H137" s="33" t="s">
        <v>2288</v>
      </c>
      <c r="I137" s="28" t="s">
        <v>2289</v>
      </c>
      <c r="J137" s="31" t="s">
        <v>2290</v>
      </c>
      <c r="K137" s="36"/>
      <c r="L137" s="38" t="s">
        <v>1829</v>
      </c>
      <c r="M137" s="38" t="s">
        <v>2223</v>
      </c>
      <c r="N137" s="28" t="s">
        <v>2224</v>
      </c>
      <c r="O137" s="31" t="s">
        <v>2225</v>
      </c>
      <c r="P137" s="31" t="s">
        <v>2227</v>
      </c>
      <c r="Q137" s="40" t="s">
        <v>2241</v>
      </c>
      <c r="R137" s="42" t="s">
        <v>2298</v>
      </c>
      <c r="S137" s="53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91">
        <v>5</v>
      </c>
      <c r="B138" s="91" t="s">
        <v>1676</v>
      </c>
      <c r="C138" s="91">
        <v>54</v>
      </c>
      <c r="D138" s="32" t="s">
        <v>1960</v>
      </c>
      <c r="E138" s="32">
        <v>542</v>
      </c>
      <c r="F138" s="32" t="s">
        <v>1961</v>
      </c>
      <c r="G138" s="56" t="s">
        <v>1962</v>
      </c>
      <c r="H138" s="33" t="s">
        <v>2301</v>
      </c>
      <c r="I138" s="29" t="s">
        <v>2302</v>
      </c>
      <c r="J138" s="31" t="s">
        <v>2303</v>
      </c>
      <c r="K138" s="36"/>
      <c r="L138" s="38" t="s">
        <v>1829</v>
      </c>
      <c r="M138" s="38" t="s">
        <v>2223</v>
      </c>
      <c r="N138" s="28" t="s">
        <v>2224</v>
      </c>
      <c r="O138" s="31" t="s">
        <v>2225</v>
      </c>
      <c r="P138" s="31" t="s">
        <v>2227</v>
      </c>
      <c r="Q138" s="40" t="s">
        <v>2241</v>
      </c>
      <c r="R138" s="42" t="s">
        <v>2298</v>
      </c>
      <c r="S138" s="53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91">
        <v>5</v>
      </c>
      <c r="B139" s="91" t="s">
        <v>1676</v>
      </c>
      <c r="C139" s="91">
        <v>54</v>
      </c>
      <c r="D139" s="32" t="s">
        <v>1960</v>
      </c>
      <c r="E139" s="32">
        <v>542</v>
      </c>
      <c r="F139" s="32" t="s">
        <v>1961</v>
      </c>
      <c r="G139" s="56" t="s">
        <v>1962</v>
      </c>
      <c r="H139" s="33" t="s">
        <v>2307</v>
      </c>
      <c r="I139" s="29"/>
      <c r="J139" s="31" t="s">
        <v>2309</v>
      </c>
      <c r="K139" s="36"/>
      <c r="L139" s="38" t="s">
        <v>1523</v>
      </c>
      <c r="M139" s="38" t="s">
        <v>1524</v>
      </c>
      <c r="N139" s="28" t="s">
        <v>1525</v>
      </c>
      <c r="O139" s="31" t="s">
        <v>1938</v>
      </c>
      <c r="P139" s="31"/>
      <c r="Q139" s="40"/>
      <c r="R139" s="42"/>
      <c r="S139" s="53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91">
        <v>5</v>
      </c>
      <c r="B140" s="91" t="s">
        <v>1676</v>
      </c>
      <c r="C140" s="91">
        <v>54</v>
      </c>
      <c r="D140" s="32" t="s">
        <v>1960</v>
      </c>
      <c r="E140" s="32">
        <v>542</v>
      </c>
      <c r="F140" s="32" t="s">
        <v>1961</v>
      </c>
      <c r="G140" s="56" t="s">
        <v>1962</v>
      </c>
      <c r="H140" s="66" t="s">
        <v>2312</v>
      </c>
      <c r="I140" s="29" t="s">
        <v>2313</v>
      </c>
      <c r="J140" s="31" t="s">
        <v>2314</v>
      </c>
      <c r="K140" s="36"/>
      <c r="L140" s="38" t="s">
        <v>1523</v>
      </c>
      <c r="M140" s="38" t="s">
        <v>1524</v>
      </c>
      <c r="N140" s="28" t="s">
        <v>1525</v>
      </c>
      <c r="O140" s="31" t="s">
        <v>1938</v>
      </c>
      <c r="P140" s="31"/>
      <c r="Q140" s="40"/>
      <c r="R140" s="42"/>
      <c r="S140" s="53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91">
        <v>5</v>
      </c>
      <c r="B141" s="91" t="s">
        <v>1676</v>
      </c>
      <c r="C141" s="91">
        <v>54</v>
      </c>
      <c r="D141" s="32" t="s">
        <v>1960</v>
      </c>
      <c r="E141" s="32">
        <v>542</v>
      </c>
      <c r="F141" s="32" t="s">
        <v>1961</v>
      </c>
      <c r="G141" s="56" t="s">
        <v>1962</v>
      </c>
      <c r="H141" s="33" t="s">
        <v>2317</v>
      </c>
      <c r="I141" s="29" t="s">
        <v>2318</v>
      </c>
      <c r="J141" s="31" t="s">
        <v>2319</v>
      </c>
      <c r="K141" s="36"/>
      <c r="L141" s="38" t="s">
        <v>1551</v>
      </c>
      <c r="M141" s="38" t="s">
        <v>1552</v>
      </c>
      <c r="N141" s="28" t="s">
        <v>1553</v>
      </c>
      <c r="O141" s="31" t="s">
        <v>1854</v>
      </c>
      <c r="P141" s="31" t="s">
        <v>1855</v>
      </c>
      <c r="Q141" s="40" t="s">
        <v>2324</v>
      </c>
      <c r="R141" s="42"/>
      <c r="S141" s="53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91">
        <v>5</v>
      </c>
      <c r="B142" s="91" t="s">
        <v>1676</v>
      </c>
      <c r="C142" s="91">
        <v>54</v>
      </c>
      <c r="D142" s="32" t="s">
        <v>1960</v>
      </c>
      <c r="E142" s="32">
        <v>542</v>
      </c>
      <c r="F142" s="32" t="s">
        <v>1961</v>
      </c>
      <c r="G142" s="56" t="s">
        <v>1962</v>
      </c>
      <c r="H142" s="33" t="s">
        <v>2327</v>
      </c>
      <c r="I142" s="29" t="s">
        <v>2329</v>
      </c>
      <c r="J142" s="34" t="s">
        <v>2330</v>
      </c>
      <c r="K142" s="36"/>
      <c r="L142" s="38" t="s">
        <v>1829</v>
      </c>
      <c r="M142" s="38" t="s">
        <v>2223</v>
      </c>
      <c r="N142" s="28" t="s">
        <v>2224</v>
      </c>
      <c r="O142" s="31" t="s">
        <v>2225</v>
      </c>
      <c r="P142" s="31" t="s">
        <v>2227</v>
      </c>
      <c r="Q142" s="40" t="s">
        <v>2241</v>
      </c>
      <c r="R142" s="42" t="s">
        <v>2242</v>
      </c>
      <c r="S142" s="53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91">
        <v>5</v>
      </c>
      <c r="B143" s="91" t="s">
        <v>1676</v>
      </c>
      <c r="C143" s="91">
        <v>54</v>
      </c>
      <c r="D143" s="32" t="s">
        <v>1960</v>
      </c>
      <c r="E143" s="32">
        <v>542</v>
      </c>
      <c r="F143" s="32" t="s">
        <v>1961</v>
      </c>
      <c r="G143" s="56" t="s">
        <v>1962</v>
      </c>
      <c r="H143" s="66" t="s">
        <v>2335</v>
      </c>
      <c r="I143" s="29" t="s">
        <v>2336</v>
      </c>
      <c r="J143" s="34" t="s">
        <v>2337</v>
      </c>
      <c r="K143" s="36"/>
      <c r="L143" s="38" t="s">
        <v>1829</v>
      </c>
      <c r="M143" s="38" t="s">
        <v>2223</v>
      </c>
      <c r="N143" s="28" t="s">
        <v>2224</v>
      </c>
      <c r="O143" s="31" t="s">
        <v>2225</v>
      </c>
      <c r="P143" s="31" t="s">
        <v>2227</v>
      </c>
      <c r="Q143" s="40" t="s">
        <v>2338</v>
      </c>
      <c r="R143" s="42"/>
      <c r="S143" s="53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91">
        <v>5</v>
      </c>
      <c r="B144" s="91" t="s">
        <v>1676</v>
      </c>
      <c r="C144" s="91">
        <v>54</v>
      </c>
      <c r="D144" s="32" t="s">
        <v>1960</v>
      </c>
      <c r="E144" s="32">
        <v>542</v>
      </c>
      <c r="F144" s="32" t="s">
        <v>1961</v>
      </c>
      <c r="G144" s="56" t="s">
        <v>1962</v>
      </c>
      <c r="H144" s="33" t="s">
        <v>2339</v>
      </c>
      <c r="I144" s="29"/>
      <c r="J144" s="31"/>
      <c r="K144" s="36"/>
      <c r="L144" s="38" t="s">
        <v>1416</v>
      </c>
      <c r="M144" s="38" t="s">
        <v>1417</v>
      </c>
      <c r="N144" s="28" t="s">
        <v>1419</v>
      </c>
      <c r="O144" s="31" t="s">
        <v>2340</v>
      </c>
      <c r="P144" s="31" t="s">
        <v>2341</v>
      </c>
      <c r="Q144" s="40" t="s">
        <v>2343</v>
      </c>
      <c r="R144" s="42"/>
      <c r="S144" s="53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91">
        <v>5</v>
      </c>
      <c r="B145" s="91" t="s">
        <v>1676</v>
      </c>
      <c r="C145" s="91">
        <v>54</v>
      </c>
      <c r="D145" s="32" t="s">
        <v>1960</v>
      </c>
      <c r="E145" s="32">
        <v>542</v>
      </c>
      <c r="F145" s="32" t="s">
        <v>1961</v>
      </c>
      <c r="G145" s="56" t="s">
        <v>1962</v>
      </c>
      <c r="H145" s="33" t="s">
        <v>2344</v>
      </c>
      <c r="I145" s="29"/>
      <c r="J145" s="31"/>
      <c r="K145" s="36"/>
      <c r="L145" s="38" t="s">
        <v>1416</v>
      </c>
      <c r="M145" s="38" t="s">
        <v>1417</v>
      </c>
      <c r="N145" s="28" t="s">
        <v>1419</v>
      </c>
      <c r="O145" s="31" t="s">
        <v>2340</v>
      </c>
      <c r="P145" s="31" t="s">
        <v>2341</v>
      </c>
      <c r="Q145" s="40" t="s">
        <v>2343</v>
      </c>
      <c r="R145" s="42"/>
      <c r="S145" s="53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91">
        <v>5</v>
      </c>
      <c r="B146" s="91" t="s">
        <v>1676</v>
      </c>
      <c r="C146" s="91">
        <v>54</v>
      </c>
      <c r="D146" s="32" t="s">
        <v>1960</v>
      </c>
      <c r="E146" s="32">
        <v>543</v>
      </c>
      <c r="F146" s="56" t="s">
        <v>2345</v>
      </c>
      <c r="G146" s="56" t="s">
        <v>2346</v>
      </c>
      <c r="H146" s="66" t="s">
        <v>2348</v>
      </c>
      <c r="I146" s="29"/>
      <c r="J146" s="34" t="s">
        <v>2349</v>
      </c>
      <c r="K146" s="36"/>
      <c r="L146" s="38" t="s">
        <v>2350</v>
      </c>
      <c r="M146" s="38" t="s">
        <v>2351</v>
      </c>
      <c r="N146" s="28" t="s">
        <v>2352</v>
      </c>
      <c r="O146" s="31" t="s">
        <v>1938</v>
      </c>
      <c r="P146" s="31"/>
      <c r="Q146" s="40"/>
      <c r="R146" s="42"/>
      <c r="S146" s="53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91">
        <v>5</v>
      </c>
      <c r="B147" s="91" t="s">
        <v>1676</v>
      </c>
      <c r="C147" s="91">
        <v>54</v>
      </c>
      <c r="D147" s="32" t="s">
        <v>1960</v>
      </c>
      <c r="E147" s="32">
        <v>543</v>
      </c>
      <c r="F147" s="56" t="s">
        <v>2345</v>
      </c>
      <c r="G147" s="56" t="s">
        <v>2346</v>
      </c>
      <c r="H147" s="66" t="s">
        <v>2355</v>
      </c>
      <c r="I147" s="29" t="s">
        <v>2356</v>
      </c>
      <c r="J147" s="34" t="s">
        <v>2358</v>
      </c>
      <c r="K147" s="36"/>
      <c r="L147" s="38" t="s">
        <v>2350</v>
      </c>
      <c r="M147" s="38" t="s">
        <v>2351</v>
      </c>
      <c r="N147" s="28" t="s">
        <v>2352</v>
      </c>
      <c r="O147" s="31" t="s">
        <v>1938</v>
      </c>
      <c r="P147" s="31"/>
      <c r="Q147" s="40"/>
      <c r="R147" s="42"/>
      <c r="S147" s="53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91">
        <v>5</v>
      </c>
      <c r="B148" s="91" t="s">
        <v>1676</v>
      </c>
      <c r="C148" s="91">
        <v>54</v>
      </c>
      <c r="D148" s="32" t="s">
        <v>1960</v>
      </c>
      <c r="E148" s="32">
        <v>543</v>
      </c>
      <c r="F148" s="56" t="s">
        <v>2345</v>
      </c>
      <c r="G148" s="56" t="s">
        <v>2346</v>
      </c>
      <c r="H148" s="66" t="s">
        <v>2360</v>
      </c>
      <c r="I148" s="29" t="s">
        <v>2361</v>
      </c>
      <c r="J148" s="31" t="s">
        <v>2362</v>
      </c>
      <c r="K148" s="36"/>
      <c r="L148" s="38" t="s">
        <v>2350</v>
      </c>
      <c r="M148" s="38" t="s">
        <v>2351</v>
      </c>
      <c r="N148" s="28" t="s">
        <v>2352</v>
      </c>
      <c r="O148" s="31" t="s">
        <v>1140</v>
      </c>
      <c r="P148" s="31" t="s">
        <v>1141</v>
      </c>
      <c r="Q148" s="40" t="s">
        <v>1142</v>
      </c>
      <c r="R148" s="42"/>
      <c r="S148" s="53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91">
        <v>5</v>
      </c>
      <c r="B149" s="91" t="s">
        <v>1676</v>
      </c>
      <c r="C149" s="91">
        <v>54</v>
      </c>
      <c r="D149" s="32" t="s">
        <v>1960</v>
      </c>
      <c r="E149" s="32">
        <v>543</v>
      </c>
      <c r="F149" s="56" t="s">
        <v>2345</v>
      </c>
      <c r="G149" s="56" t="s">
        <v>2346</v>
      </c>
      <c r="H149" s="66" t="s">
        <v>2368</v>
      </c>
      <c r="I149" s="29"/>
      <c r="J149" s="34" t="s">
        <v>2369</v>
      </c>
      <c r="K149" s="36"/>
      <c r="L149" s="38" t="s">
        <v>1523</v>
      </c>
      <c r="M149" s="38" t="s">
        <v>1524</v>
      </c>
      <c r="N149" s="28" t="s">
        <v>1525</v>
      </c>
      <c r="O149" s="31" t="s">
        <v>1526</v>
      </c>
      <c r="P149" s="31" t="s">
        <v>1527</v>
      </c>
      <c r="Q149" s="40" t="s">
        <v>2370</v>
      </c>
      <c r="R149" s="42" t="s">
        <v>2371</v>
      </c>
      <c r="S149" s="53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91">
        <v>5</v>
      </c>
      <c r="B150" s="91" t="s">
        <v>1676</v>
      </c>
      <c r="C150" s="91">
        <v>54</v>
      </c>
      <c r="D150" s="32" t="s">
        <v>1960</v>
      </c>
      <c r="E150" s="32">
        <v>543</v>
      </c>
      <c r="F150" s="56" t="s">
        <v>2345</v>
      </c>
      <c r="G150" s="56" t="s">
        <v>2346</v>
      </c>
      <c r="H150" s="66" t="s">
        <v>2374</v>
      </c>
      <c r="I150" s="29" t="s">
        <v>2375</v>
      </c>
      <c r="J150" s="34" t="s">
        <v>2376</v>
      </c>
      <c r="K150" s="36"/>
      <c r="L150" s="38" t="s">
        <v>1523</v>
      </c>
      <c r="M150" s="38" t="s">
        <v>1524</v>
      </c>
      <c r="N150" s="28" t="s">
        <v>1525</v>
      </c>
      <c r="O150" s="31" t="s">
        <v>1526</v>
      </c>
      <c r="P150" s="31" t="s">
        <v>1527</v>
      </c>
      <c r="Q150" s="40" t="s">
        <v>2370</v>
      </c>
      <c r="R150" s="42" t="s">
        <v>2371</v>
      </c>
      <c r="S150" s="53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91">
        <v>5</v>
      </c>
      <c r="B151" s="91" t="s">
        <v>1676</v>
      </c>
      <c r="C151" s="91">
        <v>54</v>
      </c>
      <c r="D151" s="32" t="s">
        <v>1960</v>
      </c>
      <c r="E151" s="32">
        <v>543</v>
      </c>
      <c r="F151" s="56" t="s">
        <v>2345</v>
      </c>
      <c r="G151" s="56" t="s">
        <v>2346</v>
      </c>
      <c r="H151" s="33" t="s">
        <v>2380</v>
      </c>
      <c r="I151" s="29"/>
      <c r="J151" s="34" t="s">
        <v>2382</v>
      </c>
      <c r="K151" s="36"/>
      <c r="L151" s="38" t="s">
        <v>1523</v>
      </c>
      <c r="M151" s="38" t="s">
        <v>1524</v>
      </c>
      <c r="N151" s="28" t="s">
        <v>1525</v>
      </c>
      <c r="O151" s="31" t="s">
        <v>559</v>
      </c>
      <c r="P151" s="31"/>
      <c r="Q151" s="40"/>
      <c r="R151" s="42"/>
      <c r="S151" s="53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91">
        <v>5</v>
      </c>
      <c r="B152" s="91" t="s">
        <v>1676</v>
      </c>
      <c r="C152" s="91">
        <v>54</v>
      </c>
      <c r="D152" s="32" t="s">
        <v>1960</v>
      </c>
      <c r="E152" s="32">
        <v>543</v>
      </c>
      <c r="F152" s="56" t="s">
        <v>2345</v>
      </c>
      <c r="G152" s="56" t="s">
        <v>2346</v>
      </c>
      <c r="H152" s="66" t="s">
        <v>2384</v>
      </c>
      <c r="I152" s="29" t="s">
        <v>2384</v>
      </c>
      <c r="J152" s="34" t="s">
        <v>2385</v>
      </c>
      <c r="K152" s="36"/>
      <c r="L152" s="38" t="s">
        <v>1523</v>
      </c>
      <c r="M152" s="38" t="s">
        <v>1524</v>
      </c>
      <c r="N152" s="28" t="s">
        <v>1525</v>
      </c>
      <c r="O152" s="31" t="s">
        <v>559</v>
      </c>
      <c r="P152" s="31"/>
      <c r="Q152" s="40"/>
      <c r="R152" s="42"/>
      <c r="S152" s="53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91">
        <v>5</v>
      </c>
      <c r="B153" s="91" t="s">
        <v>1676</v>
      </c>
      <c r="C153" s="91">
        <v>54</v>
      </c>
      <c r="D153" s="32" t="s">
        <v>1960</v>
      </c>
      <c r="E153" s="32">
        <v>543</v>
      </c>
      <c r="F153" s="56" t="s">
        <v>2345</v>
      </c>
      <c r="G153" s="56" t="s">
        <v>2346</v>
      </c>
      <c r="H153" s="66" t="s">
        <v>2392</v>
      </c>
      <c r="I153" s="29"/>
      <c r="J153" s="31"/>
      <c r="K153" s="36"/>
      <c r="L153" s="38" t="s">
        <v>1517</v>
      </c>
      <c r="M153" s="38" t="s">
        <v>1518</v>
      </c>
      <c r="N153" s="28" t="s">
        <v>1519</v>
      </c>
      <c r="O153" s="31" t="s">
        <v>559</v>
      </c>
      <c r="P153" s="31"/>
      <c r="Q153" s="40"/>
      <c r="R153" s="42"/>
      <c r="S153" s="53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91">
        <v>5</v>
      </c>
      <c r="B154" s="91" t="s">
        <v>1676</v>
      </c>
      <c r="C154" s="91">
        <v>54</v>
      </c>
      <c r="D154" s="32" t="s">
        <v>1960</v>
      </c>
      <c r="E154" s="32">
        <v>543</v>
      </c>
      <c r="F154" s="56" t="s">
        <v>2345</v>
      </c>
      <c r="G154" s="56" t="s">
        <v>2346</v>
      </c>
      <c r="H154" s="66" t="s">
        <v>2392</v>
      </c>
      <c r="I154" s="29"/>
      <c r="J154" s="31"/>
      <c r="K154" s="36"/>
      <c r="L154" s="38" t="s">
        <v>1517</v>
      </c>
      <c r="M154" s="38" t="s">
        <v>1518</v>
      </c>
      <c r="N154" s="28" t="s">
        <v>1519</v>
      </c>
      <c r="O154" s="31" t="s">
        <v>559</v>
      </c>
      <c r="P154" s="31"/>
      <c r="Q154" s="40"/>
      <c r="R154" s="42"/>
      <c r="S154" s="53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91">
        <v>5</v>
      </c>
      <c r="B155" s="91" t="s">
        <v>1676</v>
      </c>
      <c r="C155" s="91">
        <v>54</v>
      </c>
      <c r="D155" s="32" t="s">
        <v>1960</v>
      </c>
      <c r="E155" s="32">
        <v>543</v>
      </c>
      <c r="F155" s="56" t="s">
        <v>2345</v>
      </c>
      <c r="G155" s="56" t="s">
        <v>2346</v>
      </c>
      <c r="H155" s="66" t="s">
        <v>2401</v>
      </c>
      <c r="I155" s="29" t="s">
        <v>2404</v>
      </c>
      <c r="J155" s="34" t="s">
        <v>2406</v>
      </c>
      <c r="K155" s="36"/>
      <c r="L155" s="38" t="s">
        <v>1523</v>
      </c>
      <c r="M155" s="38" t="s">
        <v>1524</v>
      </c>
      <c r="N155" s="28" t="s">
        <v>1525</v>
      </c>
      <c r="O155" s="31" t="s">
        <v>1526</v>
      </c>
      <c r="P155" s="31" t="s">
        <v>1527</v>
      </c>
      <c r="Q155" s="40" t="s">
        <v>2370</v>
      </c>
      <c r="R155" s="42" t="s">
        <v>2423</v>
      </c>
      <c r="S155" s="53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91">
        <v>5</v>
      </c>
      <c r="B156" s="91" t="s">
        <v>1676</v>
      </c>
      <c r="C156" s="91">
        <v>54</v>
      </c>
      <c r="D156" s="32" t="s">
        <v>1960</v>
      </c>
      <c r="E156" s="32">
        <v>543</v>
      </c>
      <c r="F156" s="56" t="s">
        <v>2345</v>
      </c>
      <c r="G156" s="56" t="s">
        <v>2346</v>
      </c>
      <c r="H156" s="33" t="s">
        <v>2424</v>
      </c>
      <c r="I156" s="29"/>
      <c r="J156" s="31"/>
      <c r="K156" s="36"/>
      <c r="L156" s="38" t="s">
        <v>1807</v>
      </c>
      <c r="M156" s="38" t="s">
        <v>2425</v>
      </c>
      <c r="N156" s="28" t="s">
        <v>2426</v>
      </c>
      <c r="O156" s="31" t="s">
        <v>1395</v>
      </c>
      <c r="P156" s="31" t="s">
        <v>1396</v>
      </c>
      <c r="Q156" s="40" t="s">
        <v>1463</v>
      </c>
      <c r="R156" s="42"/>
      <c r="S156" s="53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91">
        <v>5</v>
      </c>
      <c r="B157" s="91" t="s">
        <v>1676</v>
      </c>
      <c r="C157" s="91">
        <v>54</v>
      </c>
      <c r="D157" s="32" t="s">
        <v>1960</v>
      </c>
      <c r="E157" s="32">
        <v>543</v>
      </c>
      <c r="F157" s="56" t="s">
        <v>2345</v>
      </c>
      <c r="G157" s="56" t="s">
        <v>2346</v>
      </c>
      <c r="H157" s="33" t="s">
        <v>2430</v>
      </c>
      <c r="I157" s="29"/>
      <c r="J157" s="31"/>
      <c r="K157" s="36"/>
      <c r="L157" s="38" t="s">
        <v>1807</v>
      </c>
      <c r="M157" s="38" t="s">
        <v>2425</v>
      </c>
      <c r="N157" s="28" t="s">
        <v>2426</v>
      </c>
      <c r="O157" s="31" t="s">
        <v>1395</v>
      </c>
      <c r="P157" s="31" t="s">
        <v>1396</v>
      </c>
      <c r="Q157" s="40" t="s">
        <v>1463</v>
      </c>
      <c r="R157" s="42"/>
      <c r="S157" s="53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91">
        <v>5</v>
      </c>
      <c r="B158" s="91" t="s">
        <v>1676</v>
      </c>
      <c r="C158" s="91">
        <v>54</v>
      </c>
      <c r="D158" s="32" t="s">
        <v>1960</v>
      </c>
      <c r="E158" s="32">
        <v>543</v>
      </c>
      <c r="F158" s="56" t="s">
        <v>2345</v>
      </c>
      <c r="G158" s="56" t="s">
        <v>2346</v>
      </c>
      <c r="H158" s="33" t="s">
        <v>2432</v>
      </c>
      <c r="I158" s="29"/>
      <c r="J158" s="31"/>
      <c r="K158" s="36"/>
      <c r="L158" s="38" t="s">
        <v>2350</v>
      </c>
      <c r="M158" s="38" t="s">
        <v>2351</v>
      </c>
      <c r="N158" s="28" t="s">
        <v>2352</v>
      </c>
      <c r="O158" s="31" t="s">
        <v>1240</v>
      </c>
      <c r="P158" s="31" t="s">
        <v>1241</v>
      </c>
      <c r="Q158" s="40" t="s">
        <v>1576</v>
      </c>
      <c r="R158" s="42"/>
      <c r="S158" s="53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91">
        <v>5</v>
      </c>
      <c r="B159" s="91" t="s">
        <v>1676</v>
      </c>
      <c r="C159" s="91">
        <v>54</v>
      </c>
      <c r="D159" s="32" t="s">
        <v>1960</v>
      </c>
      <c r="E159" s="32">
        <v>544</v>
      </c>
      <c r="F159" s="32" t="s">
        <v>2447</v>
      </c>
      <c r="G159" s="56" t="s">
        <v>2448</v>
      </c>
      <c r="H159" s="33" t="s">
        <v>2450</v>
      </c>
      <c r="I159" s="29" t="s">
        <v>2451</v>
      </c>
      <c r="J159" s="31"/>
      <c r="K159" s="36"/>
      <c r="L159" s="38" t="s">
        <v>1935</v>
      </c>
      <c r="M159" s="38" t="s">
        <v>1936</v>
      </c>
      <c r="N159" s="28" t="s">
        <v>1937</v>
      </c>
      <c r="O159" s="31" t="s">
        <v>1240</v>
      </c>
      <c r="P159" s="31" t="s">
        <v>1241</v>
      </c>
      <c r="Q159" s="40" t="s">
        <v>1576</v>
      </c>
      <c r="R159" s="42"/>
      <c r="S159" s="53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91">
        <v>5</v>
      </c>
      <c r="B160" s="91" t="s">
        <v>1676</v>
      </c>
      <c r="C160" s="91">
        <v>54</v>
      </c>
      <c r="D160" s="32" t="s">
        <v>1960</v>
      </c>
      <c r="E160" s="32">
        <v>544</v>
      </c>
      <c r="F160" s="32" t="s">
        <v>2447</v>
      </c>
      <c r="G160" s="56" t="s">
        <v>2448</v>
      </c>
      <c r="H160" s="33" t="s">
        <v>2447</v>
      </c>
      <c r="I160" s="29"/>
      <c r="J160" s="31"/>
      <c r="K160" s="36"/>
      <c r="L160" s="38" t="s">
        <v>2350</v>
      </c>
      <c r="M160" s="38" t="s">
        <v>2351</v>
      </c>
      <c r="N160" s="28" t="s">
        <v>2352</v>
      </c>
      <c r="O160" s="31" t="s">
        <v>1526</v>
      </c>
      <c r="P160" s="31"/>
      <c r="Q160" s="40"/>
      <c r="R160" s="42"/>
      <c r="S160" s="53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91">
        <v>5</v>
      </c>
      <c r="B161" s="91" t="s">
        <v>1676</v>
      </c>
      <c r="C161" s="91">
        <v>54</v>
      </c>
      <c r="D161" s="32" t="s">
        <v>1960</v>
      </c>
      <c r="E161" s="32">
        <v>544</v>
      </c>
      <c r="F161" s="32" t="s">
        <v>2447</v>
      </c>
      <c r="G161" s="56" t="s">
        <v>2448</v>
      </c>
      <c r="H161" s="33" t="s">
        <v>2459</v>
      </c>
      <c r="I161" s="29"/>
      <c r="J161" s="31"/>
      <c r="K161" s="36"/>
      <c r="L161" s="38" t="s">
        <v>2350</v>
      </c>
      <c r="M161" s="38" t="s">
        <v>2351</v>
      </c>
      <c r="N161" s="28" t="s">
        <v>2352</v>
      </c>
      <c r="O161" s="31" t="s">
        <v>1526</v>
      </c>
      <c r="P161" s="31"/>
      <c r="Q161" s="40"/>
      <c r="R161" s="42"/>
      <c r="S161" s="53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91">
        <v>5</v>
      </c>
      <c r="B162" s="91" t="s">
        <v>1676</v>
      </c>
      <c r="C162" s="91">
        <v>54</v>
      </c>
      <c r="D162" s="32" t="s">
        <v>1960</v>
      </c>
      <c r="E162" s="32">
        <v>549</v>
      </c>
      <c r="F162" s="32" t="s">
        <v>2460</v>
      </c>
      <c r="G162" s="32" t="s">
        <v>1826</v>
      </c>
      <c r="H162" s="66" t="s">
        <v>2462</v>
      </c>
      <c r="I162" s="29" t="s">
        <v>2463</v>
      </c>
      <c r="J162" s="31"/>
      <c r="K162" s="36"/>
      <c r="L162" s="38" t="s">
        <v>2464</v>
      </c>
      <c r="M162" s="38" t="s">
        <v>2465</v>
      </c>
      <c r="N162" s="28" t="s">
        <v>2467</v>
      </c>
      <c r="O162" s="31" t="s">
        <v>559</v>
      </c>
      <c r="P162" s="31" t="s">
        <v>625</v>
      </c>
      <c r="Q162" s="40" t="s">
        <v>2470</v>
      </c>
      <c r="R162" s="42"/>
      <c r="S162" s="53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91">
        <v>5</v>
      </c>
      <c r="B163" s="91" t="s">
        <v>1676</v>
      </c>
      <c r="C163" s="91">
        <v>54</v>
      </c>
      <c r="D163" s="32" t="s">
        <v>1960</v>
      </c>
      <c r="E163" s="32">
        <v>549</v>
      </c>
      <c r="F163" s="32" t="s">
        <v>2460</v>
      </c>
      <c r="G163" s="32" t="s">
        <v>1826</v>
      </c>
      <c r="H163" s="33" t="s">
        <v>2473</v>
      </c>
      <c r="I163" s="29"/>
      <c r="J163" s="31"/>
      <c r="K163" s="36"/>
      <c r="L163" s="38" t="s">
        <v>1829</v>
      </c>
      <c r="M163" s="38" t="s">
        <v>2223</v>
      </c>
      <c r="N163" s="28" t="s">
        <v>2224</v>
      </c>
      <c r="O163" s="31" t="s">
        <v>2225</v>
      </c>
      <c r="P163" s="31" t="s">
        <v>2227</v>
      </c>
      <c r="Q163" s="40" t="s">
        <v>2241</v>
      </c>
      <c r="R163" s="42" t="s">
        <v>2298</v>
      </c>
      <c r="S163" s="53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91">
        <v>5</v>
      </c>
      <c r="B164" s="91" t="s">
        <v>1676</v>
      </c>
      <c r="C164" s="91">
        <v>55</v>
      </c>
      <c r="D164" s="32" t="s">
        <v>2476</v>
      </c>
      <c r="E164" s="32">
        <v>553</v>
      </c>
      <c r="F164" s="32" t="s">
        <v>2477</v>
      </c>
      <c r="G164" s="56" t="s">
        <v>2478</v>
      </c>
      <c r="H164" s="33" t="s">
        <v>2479</v>
      </c>
      <c r="I164" s="29"/>
      <c r="J164" s="31"/>
      <c r="K164" s="36"/>
      <c r="L164" s="38" t="s">
        <v>2480</v>
      </c>
      <c r="M164" s="38" t="s">
        <v>2482</v>
      </c>
      <c r="N164" s="28" t="s">
        <v>2485</v>
      </c>
      <c r="O164" s="31" t="s">
        <v>1854</v>
      </c>
      <c r="P164" s="31" t="s">
        <v>1855</v>
      </c>
      <c r="Q164" s="40" t="s">
        <v>2486</v>
      </c>
      <c r="R164" s="42" t="s">
        <v>2487</v>
      </c>
      <c r="S164" s="53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91">
        <v>5</v>
      </c>
      <c r="B165" s="91" t="s">
        <v>1676</v>
      </c>
      <c r="C165" s="91">
        <v>55</v>
      </c>
      <c r="D165" s="32" t="s">
        <v>2476</v>
      </c>
      <c r="E165" s="32">
        <v>553</v>
      </c>
      <c r="F165" s="32" t="s">
        <v>2477</v>
      </c>
      <c r="G165" s="56" t="s">
        <v>2478</v>
      </c>
      <c r="H165" s="33" t="s">
        <v>2491</v>
      </c>
      <c r="I165" s="29"/>
      <c r="J165" s="31" t="s">
        <v>2496</v>
      </c>
      <c r="K165" s="36"/>
      <c r="L165" s="38" t="s">
        <v>2480</v>
      </c>
      <c r="M165" s="38" t="s">
        <v>2482</v>
      </c>
      <c r="N165" s="28" t="s">
        <v>2485</v>
      </c>
      <c r="O165" s="31" t="s">
        <v>1854</v>
      </c>
      <c r="P165" s="31" t="s">
        <v>1855</v>
      </c>
      <c r="Q165" s="40" t="s">
        <v>2486</v>
      </c>
      <c r="R165" s="42"/>
      <c r="S165" s="53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91">
        <v>5</v>
      </c>
      <c r="B166" s="91" t="s">
        <v>1676</v>
      </c>
      <c r="C166" s="91">
        <v>55</v>
      </c>
      <c r="D166" s="32" t="s">
        <v>2476</v>
      </c>
      <c r="E166" s="32">
        <v>553</v>
      </c>
      <c r="F166" s="32" t="s">
        <v>2477</v>
      </c>
      <c r="G166" s="56" t="s">
        <v>2478</v>
      </c>
      <c r="H166" s="66" t="s">
        <v>2502</v>
      </c>
      <c r="I166" s="29"/>
      <c r="J166" s="34" t="s">
        <v>2503</v>
      </c>
      <c r="K166" s="36"/>
      <c r="L166" s="38" t="s">
        <v>2480</v>
      </c>
      <c r="M166" s="38" t="s">
        <v>2482</v>
      </c>
      <c r="N166" s="28" t="s">
        <v>2485</v>
      </c>
      <c r="O166" s="31" t="s">
        <v>1854</v>
      </c>
      <c r="P166" s="31" t="s">
        <v>1855</v>
      </c>
      <c r="Q166" s="40" t="s">
        <v>2486</v>
      </c>
      <c r="R166" s="42"/>
      <c r="S166" s="53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91">
        <v>5</v>
      </c>
      <c r="B167" s="91" t="s">
        <v>1676</v>
      </c>
      <c r="C167" s="91">
        <v>55</v>
      </c>
      <c r="D167" s="32" t="s">
        <v>2476</v>
      </c>
      <c r="E167" s="32">
        <v>553</v>
      </c>
      <c r="F167" s="32" t="s">
        <v>2477</v>
      </c>
      <c r="G167" s="56" t="s">
        <v>2478</v>
      </c>
      <c r="H167" s="33" t="s">
        <v>2522</v>
      </c>
      <c r="I167" s="29"/>
      <c r="J167" s="31" t="s">
        <v>2524</v>
      </c>
      <c r="K167" s="36"/>
      <c r="L167" s="38" t="s">
        <v>2480</v>
      </c>
      <c r="M167" s="38" t="s">
        <v>2482</v>
      </c>
      <c r="N167" s="28" t="s">
        <v>2485</v>
      </c>
      <c r="O167" s="31" t="s">
        <v>1854</v>
      </c>
      <c r="P167" s="31" t="s">
        <v>1855</v>
      </c>
      <c r="Q167" s="40" t="s">
        <v>2486</v>
      </c>
      <c r="R167" s="42"/>
      <c r="S167" s="53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91">
        <v>5</v>
      </c>
      <c r="B168" s="91" t="s">
        <v>1676</v>
      </c>
      <c r="C168" s="91">
        <v>55</v>
      </c>
      <c r="D168" s="32" t="s">
        <v>2476</v>
      </c>
      <c r="E168" s="32">
        <v>553</v>
      </c>
      <c r="F168" s="32" t="s">
        <v>2477</v>
      </c>
      <c r="G168" s="56" t="s">
        <v>2478</v>
      </c>
      <c r="H168" s="66" t="s">
        <v>2526</v>
      </c>
      <c r="I168" s="29"/>
      <c r="J168" s="34" t="s">
        <v>2529</v>
      </c>
      <c r="K168" s="36"/>
      <c r="L168" s="38" t="s">
        <v>2480</v>
      </c>
      <c r="M168" s="38" t="s">
        <v>2482</v>
      </c>
      <c r="N168" s="28" t="s">
        <v>2485</v>
      </c>
      <c r="O168" s="31" t="s">
        <v>1854</v>
      </c>
      <c r="P168" s="31" t="s">
        <v>1855</v>
      </c>
      <c r="Q168" s="40" t="s">
        <v>2486</v>
      </c>
      <c r="R168" s="42"/>
      <c r="S168" s="53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91">
        <v>5</v>
      </c>
      <c r="B169" s="91" t="s">
        <v>1676</v>
      </c>
      <c r="C169" s="91">
        <v>55</v>
      </c>
      <c r="D169" s="32" t="s">
        <v>2476</v>
      </c>
      <c r="E169" s="32">
        <v>555</v>
      </c>
      <c r="F169" s="32" t="s">
        <v>2539</v>
      </c>
      <c r="G169" s="56" t="s">
        <v>2540</v>
      </c>
      <c r="H169" s="33" t="s">
        <v>1948</v>
      </c>
      <c r="I169" s="29"/>
      <c r="J169" s="31" t="s">
        <v>2541</v>
      </c>
      <c r="K169" s="36"/>
      <c r="L169" s="38" t="s">
        <v>1947</v>
      </c>
      <c r="M169" s="38" t="s">
        <v>1948</v>
      </c>
      <c r="N169" s="28" t="s">
        <v>1952</v>
      </c>
      <c r="O169" s="31" t="s">
        <v>1854</v>
      </c>
      <c r="P169" s="31" t="s">
        <v>1855</v>
      </c>
      <c r="Q169" s="40" t="s">
        <v>1955</v>
      </c>
      <c r="R169" s="42"/>
      <c r="S169" s="103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91">
        <v>5</v>
      </c>
      <c r="B170" s="91" t="s">
        <v>1676</v>
      </c>
      <c r="C170" s="91">
        <v>55</v>
      </c>
      <c r="D170" s="32" t="s">
        <v>2476</v>
      </c>
      <c r="E170" s="32">
        <v>555</v>
      </c>
      <c r="F170" s="32" t="s">
        <v>2539</v>
      </c>
      <c r="G170" s="56" t="s">
        <v>2540</v>
      </c>
      <c r="H170" s="33" t="s">
        <v>2563</v>
      </c>
      <c r="I170" s="29"/>
      <c r="J170" s="31" t="s">
        <v>2564</v>
      </c>
      <c r="K170" s="36"/>
      <c r="L170" s="38" t="s">
        <v>2480</v>
      </c>
      <c r="M170" s="38" t="s">
        <v>2482</v>
      </c>
      <c r="N170" s="28" t="s">
        <v>2485</v>
      </c>
      <c r="O170" s="31" t="s">
        <v>1854</v>
      </c>
      <c r="P170" s="31" t="s">
        <v>1855</v>
      </c>
      <c r="Q170" s="40" t="s">
        <v>2565</v>
      </c>
      <c r="R170" s="42"/>
      <c r="S170" s="53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91">
        <v>5</v>
      </c>
      <c r="B171" s="91" t="s">
        <v>1676</v>
      </c>
      <c r="C171" s="91">
        <v>55</v>
      </c>
      <c r="D171" s="32" t="s">
        <v>2476</v>
      </c>
      <c r="E171" s="32">
        <v>555</v>
      </c>
      <c r="F171" s="32" t="s">
        <v>2539</v>
      </c>
      <c r="G171" s="56" t="s">
        <v>2540</v>
      </c>
      <c r="H171" s="33" t="s">
        <v>2566</v>
      </c>
      <c r="I171" s="29"/>
      <c r="J171" s="31" t="s">
        <v>2567</v>
      </c>
      <c r="K171" s="36"/>
      <c r="L171" s="38" t="s">
        <v>2350</v>
      </c>
      <c r="M171" s="38" t="s">
        <v>2351</v>
      </c>
      <c r="N171" s="28" t="s">
        <v>2352</v>
      </c>
      <c r="O171" s="31" t="s">
        <v>1854</v>
      </c>
      <c r="P171" s="31" t="s">
        <v>1855</v>
      </c>
      <c r="Q171" s="40" t="s">
        <v>1955</v>
      </c>
      <c r="R171" s="42"/>
      <c r="S171" s="53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91">
        <v>5</v>
      </c>
      <c r="B172" s="91" t="s">
        <v>1676</v>
      </c>
      <c r="C172" s="91">
        <v>55</v>
      </c>
      <c r="D172" s="32" t="s">
        <v>2476</v>
      </c>
      <c r="E172" s="32">
        <v>555</v>
      </c>
      <c r="F172" s="32" t="s">
        <v>2539</v>
      </c>
      <c r="G172" s="56" t="s">
        <v>2540</v>
      </c>
      <c r="H172" s="33" t="s">
        <v>2570</v>
      </c>
      <c r="I172" s="29"/>
      <c r="J172" s="34" t="s">
        <v>2571</v>
      </c>
      <c r="K172" s="36"/>
      <c r="L172" s="38" t="s">
        <v>2350</v>
      </c>
      <c r="M172" s="38" t="s">
        <v>2351</v>
      </c>
      <c r="N172" s="28" t="s">
        <v>2352</v>
      </c>
      <c r="O172" s="31" t="s">
        <v>1854</v>
      </c>
      <c r="P172" s="31" t="s">
        <v>1855</v>
      </c>
      <c r="Q172" s="40" t="s">
        <v>1955</v>
      </c>
      <c r="R172" s="42"/>
      <c r="S172" s="53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91">
        <v>5</v>
      </c>
      <c r="B173" s="91" t="s">
        <v>1676</v>
      </c>
      <c r="C173" s="91">
        <v>55</v>
      </c>
      <c r="D173" s="32" t="s">
        <v>2476</v>
      </c>
      <c r="E173" s="32">
        <v>555</v>
      </c>
      <c r="F173" s="32" t="s">
        <v>2539</v>
      </c>
      <c r="G173" s="56" t="s">
        <v>2540</v>
      </c>
      <c r="H173" s="33" t="s">
        <v>2572</v>
      </c>
      <c r="I173" s="29"/>
      <c r="J173" s="34" t="s">
        <v>2575</v>
      </c>
      <c r="K173" s="36"/>
      <c r="L173" s="38" t="s">
        <v>2350</v>
      </c>
      <c r="M173" s="38" t="s">
        <v>2351</v>
      </c>
      <c r="N173" s="28" t="s">
        <v>2352</v>
      </c>
      <c r="O173" s="31" t="s">
        <v>1854</v>
      </c>
      <c r="P173" s="31" t="s">
        <v>1855</v>
      </c>
      <c r="Q173" s="40" t="s">
        <v>1955</v>
      </c>
      <c r="R173" s="42"/>
      <c r="S173" s="53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91">
        <v>5</v>
      </c>
      <c r="B174" s="91" t="s">
        <v>1676</v>
      </c>
      <c r="C174" s="91">
        <v>55</v>
      </c>
      <c r="D174" s="32" t="s">
        <v>2476</v>
      </c>
      <c r="E174" s="32">
        <v>556</v>
      </c>
      <c r="F174" s="32" t="s">
        <v>2585</v>
      </c>
      <c r="G174" s="56" t="s">
        <v>2587</v>
      </c>
      <c r="H174" s="33" t="s">
        <v>2588</v>
      </c>
      <c r="I174" s="28" t="s">
        <v>2589</v>
      </c>
      <c r="J174" s="31" t="s">
        <v>2591</v>
      </c>
      <c r="K174" s="36"/>
      <c r="L174" s="38" t="s">
        <v>2592</v>
      </c>
      <c r="M174" s="38" t="s">
        <v>2597</v>
      </c>
      <c r="N174" s="28" t="s">
        <v>2598</v>
      </c>
      <c r="O174" s="31" t="s">
        <v>1854</v>
      </c>
      <c r="P174" s="31" t="s">
        <v>1855</v>
      </c>
      <c r="Q174" s="40" t="s">
        <v>2324</v>
      </c>
      <c r="R174" s="42"/>
      <c r="S174" s="103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91">
        <v>5</v>
      </c>
      <c r="B175" s="91" t="s">
        <v>1676</v>
      </c>
      <c r="C175" s="91">
        <v>55</v>
      </c>
      <c r="D175" s="32" t="s">
        <v>2476</v>
      </c>
      <c r="E175" s="32">
        <v>556</v>
      </c>
      <c r="F175" s="32" t="s">
        <v>2585</v>
      </c>
      <c r="G175" s="56" t="s">
        <v>2587</v>
      </c>
      <c r="H175" s="33" t="s">
        <v>2606</v>
      </c>
      <c r="I175" s="28" t="s">
        <v>2610</v>
      </c>
      <c r="J175" s="31" t="s">
        <v>2611</v>
      </c>
      <c r="K175" s="36"/>
      <c r="L175" s="38" t="s">
        <v>2480</v>
      </c>
      <c r="M175" s="38" t="s">
        <v>2482</v>
      </c>
      <c r="N175" s="28" t="s">
        <v>2485</v>
      </c>
      <c r="O175" s="31" t="s">
        <v>1854</v>
      </c>
      <c r="P175" s="31" t="s">
        <v>1855</v>
      </c>
      <c r="Q175" s="40" t="s">
        <v>2486</v>
      </c>
      <c r="R175" s="42"/>
      <c r="S175" s="103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91">
        <v>5</v>
      </c>
      <c r="B176" s="91" t="s">
        <v>1676</v>
      </c>
      <c r="C176" s="91">
        <v>55</v>
      </c>
      <c r="D176" s="32" t="s">
        <v>2476</v>
      </c>
      <c r="E176" s="32">
        <v>556</v>
      </c>
      <c r="F176" s="32" t="s">
        <v>2585</v>
      </c>
      <c r="G176" s="56" t="s">
        <v>2587</v>
      </c>
      <c r="H176" s="66" t="s">
        <v>2615</v>
      </c>
      <c r="I176" s="29"/>
      <c r="J176" s="34" t="s">
        <v>2616</v>
      </c>
      <c r="K176" s="36"/>
      <c r="L176" s="38" t="s">
        <v>1523</v>
      </c>
      <c r="M176" s="38" t="s">
        <v>1524</v>
      </c>
      <c r="N176" s="28" t="s">
        <v>1525</v>
      </c>
      <c r="O176" s="31" t="s">
        <v>1526</v>
      </c>
      <c r="P176" s="31" t="s">
        <v>1527</v>
      </c>
      <c r="Q176" s="40" t="s">
        <v>2370</v>
      </c>
      <c r="R176" s="42"/>
      <c r="S176" s="53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91">
        <v>5</v>
      </c>
      <c r="B177" s="91" t="s">
        <v>1676</v>
      </c>
      <c r="C177" s="91">
        <v>55</v>
      </c>
      <c r="D177" s="32" t="s">
        <v>2476</v>
      </c>
      <c r="E177" s="32">
        <v>556</v>
      </c>
      <c r="F177" s="32" t="s">
        <v>2585</v>
      </c>
      <c r="G177" s="56" t="s">
        <v>2587</v>
      </c>
      <c r="H177" s="33" t="s">
        <v>2622</v>
      </c>
      <c r="I177" s="28" t="s">
        <v>2624</v>
      </c>
      <c r="J177" s="31" t="s">
        <v>2625</v>
      </c>
      <c r="K177" s="36"/>
      <c r="L177" s="38" t="s">
        <v>2592</v>
      </c>
      <c r="M177" s="38" t="s">
        <v>2597</v>
      </c>
      <c r="N177" s="28" t="s">
        <v>2598</v>
      </c>
      <c r="O177" s="31" t="s">
        <v>1854</v>
      </c>
      <c r="P177" s="31" t="s">
        <v>1855</v>
      </c>
      <c r="Q177" s="40" t="s">
        <v>2324</v>
      </c>
      <c r="R177" s="42"/>
      <c r="S177" s="103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91">
        <v>5</v>
      </c>
      <c r="B178" s="91" t="s">
        <v>1676</v>
      </c>
      <c r="C178" s="91">
        <v>55</v>
      </c>
      <c r="D178" s="32" t="s">
        <v>2476</v>
      </c>
      <c r="E178" s="32">
        <v>556</v>
      </c>
      <c r="F178" s="32" t="s">
        <v>2585</v>
      </c>
      <c r="G178" s="56" t="s">
        <v>2587</v>
      </c>
      <c r="H178" s="33" t="s">
        <v>2638</v>
      </c>
      <c r="I178" s="28" t="s">
        <v>2639</v>
      </c>
      <c r="J178" s="31" t="s">
        <v>2641</v>
      </c>
      <c r="K178" s="36"/>
      <c r="L178" s="38" t="s">
        <v>2592</v>
      </c>
      <c r="M178" s="38" t="s">
        <v>2597</v>
      </c>
      <c r="N178" s="28" t="s">
        <v>2598</v>
      </c>
      <c r="O178" s="31" t="s">
        <v>1854</v>
      </c>
      <c r="P178" s="31" t="s">
        <v>1855</v>
      </c>
      <c r="Q178" s="40" t="s">
        <v>2324</v>
      </c>
      <c r="R178" s="42"/>
      <c r="S178" s="103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91">
        <v>5</v>
      </c>
      <c r="B179" s="91" t="s">
        <v>1676</v>
      </c>
      <c r="C179" s="91">
        <v>55</v>
      </c>
      <c r="D179" s="32" t="s">
        <v>2476</v>
      </c>
      <c r="E179" s="32">
        <v>556</v>
      </c>
      <c r="F179" s="32" t="s">
        <v>2585</v>
      </c>
      <c r="G179" s="56" t="s">
        <v>2587</v>
      </c>
      <c r="H179" s="33" t="s">
        <v>2647</v>
      </c>
      <c r="I179" s="29"/>
      <c r="J179" s="31"/>
      <c r="K179" s="36"/>
      <c r="L179" s="38" t="s">
        <v>1135</v>
      </c>
      <c r="M179" s="38" t="s">
        <v>1137</v>
      </c>
      <c r="N179" s="28" t="s">
        <v>1139</v>
      </c>
      <c r="O179" s="31" t="s">
        <v>1140</v>
      </c>
      <c r="P179" s="31" t="s">
        <v>1141</v>
      </c>
      <c r="Q179" s="40" t="s">
        <v>1142</v>
      </c>
      <c r="R179" s="42"/>
      <c r="S179" s="104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91">
        <v>5</v>
      </c>
      <c r="B180" s="91" t="s">
        <v>1676</v>
      </c>
      <c r="C180" s="91">
        <v>55</v>
      </c>
      <c r="D180" s="32" t="s">
        <v>2476</v>
      </c>
      <c r="E180" s="32">
        <v>556</v>
      </c>
      <c r="F180" s="32" t="s">
        <v>2585</v>
      </c>
      <c r="G180" s="56" t="s">
        <v>2587</v>
      </c>
      <c r="H180" s="66" t="s">
        <v>2664</v>
      </c>
      <c r="I180" s="28" t="s">
        <v>2666</v>
      </c>
      <c r="J180" s="31"/>
      <c r="K180" s="36"/>
      <c r="L180" s="38" t="s">
        <v>1135</v>
      </c>
      <c r="M180" s="38" t="s">
        <v>1137</v>
      </c>
      <c r="N180" s="28" t="s">
        <v>1139</v>
      </c>
      <c r="O180" s="31" t="s">
        <v>1140</v>
      </c>
      <c r="P180" s="31" t="s">
        <v>1141</v>
      </c>
      <c r="Q180" s="40" t="s">
        <v>1142</v>
      </c>
      <c r="R180" s="42"/>
      <c r="S180" s="104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91">
        <v>5</v>
      </c>
      <c r="B181" s="91" t="s">
        <v>1676</v>
      </c>
      <c r="C181" s="91">
        <v>55</v>
      </c>
      <c r="D181" s="32" t="s">
        <v>2476</v>
      </c>
      <c r="E181" s="32">
        <v>556</v>
      </c>
      <c r="F181" s="32" t="s">
        <v>2585</v>
      </c>
      <c r="G181" s="56" t="s">
        <v>2587</v>
      </c>
      <c r="H181" s="33" t="s">
        <v>2676</v>
      </c>
      <c r="I181" s="28" t="s">
        <v>2677</v>
      </c>
      <c r="J181" s="31"/>
      <c r="K181" s="36"/>
      <c r="L181" s="38" t="s">
        <v>1551</v>
      </c>
      <c r="M181" s="38" t="s">
        <v>1552</v>
      </c>
      <c r="N181" s="28" t="s">
        <v>1553</v>
      </c>
      <c r="O181" s="31" t="s">
        <v>1854</v>
      </c>
      <c r="P181" s="31" t="s">
        <v>1855</v>
      </c>
      <c r="Q181" s="40" t="s">
        <v>2324</v>
      </c>
      <c r="R181" s="42" t="s">
        <v>2680</v>
      </c>
      <c r="S181" s="53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91">
        <v>5</v>
      </c>
      <c r="B182" s="91" t="s">
        <v>1676</v>
      </c>
      <c r="C182" s="91">
        <v>55</v>
      </c>
      <c r="D182" s="32" t="s">
        <v>2476</v>
      </c>
      <c r="E182" s="32">
        <v>556</v>
      </c>
      <c r="F182" s="32" t="s">
        <v>2585</v>
      </c>
      <c r="G182" s="56" t="s">
        <v>2587</v>
      </c>
      <c r="H182" s="66" t="s">
        <v>2684</v>
      </c>
      <c r="I182" s="29"/>
      <c r="J182" s="31" t="s">
        <v>2686</v>
      </c>
      <c r="K182" s="36"/>
      <c r="L182" s="38" t="s">
        <v>2687</v>
      </c>
      <c r="M182" s="38" t="s">
        <v>2688</v>
      </c>
      <c r="N182" s="28" t="s">
        <v>2689</v>
      </c>
      <c r="O182" s="31" t="s">
        <v>1854</v>
      </c>
      <c r="P182" s="31" t="s">
        <v>1855</v>
      </c>
      <c r="Q182" s="40" t="s">
        <v>2324</v>
      </c>
      <c r="R182" s="42" t="s">
        <v>2680</v>
      </c>
      <c r="S182" s="53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91">
        <v>5</v>
      </c>
      <c r="B183" s="91" t="s">
        <v>1676</v>
      </c>
      <c r="C183" s="91">
        <v>55</v>
      </c>
      <c r="D183" s="32" t="s">
        <v>2476</v>
      </c>
      <c r="E183" s="32">
        <v>556</v>
      </c>
      <c r="F183" s="32" t="s">
        <v>2585</v>
      </c>
      <c r="G183" s="56" t="s">
        <v>2587</v>
      </c>
      <c r="H183" s="66" t="s">
        <v>2693</v>
      </c>
      <c r="I183" s="29"/>
      <c r="J183" s="31"/>
      <c r="K183" s="36"/>
      <c r="L183" s="38" t="s">
        <v>2687</v>
      </c>
      <c r="M183" s="38" t="s">
        <v>2688</v>
      </c>
      <c r="N183" s="28" t="s">
        <v>2689</v>
      </c>
      <c r="O183" s="31" t="s">
        <v>1240</v>
      </c>
      <c r="P183" s="31" t="s">
        <v>1241</v>
      </c>
      <c r="Q183" s="40" t="s">
        <v>1576</v>
      </c>
      <c r="R183" s="42"/>
      <c r="S183" s="53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91">
        <v>5</v>
      </c>
      <c r="B184" s="91" t="s">
        <v>1676</v>
      </c>
      <c r="C184" s="91">
        <v>55</v>
      </c>
      <c r="D184" s="32" t="s">
        <v>2476</v>
      </c>
      <c r="E184" s="32">
        <v>556</v>
      </c>
      <c r="F184" s="32" t="s">
        <v>2585</v>
      </c>
      <c r="G184" s="56" t="s">
        <v>2587</v>
      </c>
      <c r="H184" s="66" t="s">
        <v>2695</v>
      </c>
      <c r="I184" s="29" t="s">
        <v>2697</v>
      </c>
      <c r="J184" s="31" t="s">
        <v>2699</v>
      </c>
      <c r="K184" s="36"/>
      <c r="L184" s="38" t="s">
        <v>2701</v>
      </c>
      <c r="M184" s="38" t="s">
        <v>2702</v>
      </c>
      <c r="N184" s="28" t="s">
        <v>2704</v>
      </c>
      <c r="O184" s="31" t="s">
        <v>1014</v>
      </c>
      <c r="P184" s="31" t="s">
        <v>1015</v>
      </c>
      <c r="Q184" s="40" t="s">
        <v>2705</v>
      </c>
      <c r="R184" s="42"/>
      <c r="S184" s="53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91">
        <v>5</v>
      </c>
      <c r="B185" s="91" t="s">
        <v>1676</v>
      </c>
      <c r="C185" s="91">
        <v>55</v>
      </c>
      <c r="D185" s="32" t="s">
        <v>2476</v>
      </c>
      <c r="E185" s="32">
        <v>556</v>
      </c>
      <c r="F185" s="32" t="s">
        <v>2585</v>
      </c>
      <c r="G185" s="56" t="s">
        <v>2587</v>
      </c>
      <c r="H185" s="33" t="s">
        <v>2706</v>
      </c>
      <c r="I185" s="29"/>
      <c r="J185" s="31" t="s">
        <v>2707</v>
      </c>
      <c r="K185" s="36"/>
      <c r="L185" s="38" t="s">
        <v>2708</v>
      </c>
      <c r="M185" s="38" t="s">
        <v>2710</v>
      </c>
      <c r="N185" s="28" t="s">
        <v>2711</v>
      </c>
      <c r="O185" s="31" t="s">
        <v>1854</v>
      </c>
      <c r="P185" s="31" t="s">
        <v>1855</v>
      </c>
      <c r="Q185" s="40" t="s">
        <v>2486</v>
      </c>
      <c r="R185" s="42"/>
      <c r="S185" s="53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91">
        <v>5</v>
      </c>
      <c r="B186" s="91" t="s">
        <v>1676</v>
      </c>
      <c r="C186" s="91">
        <v>55</v>
      </c>
      <c r="D186" s="32" t="s">
        <v>2476</v>
      </c>
      <c r="E186" s="32">
        <v>556</v>
      </c>
      <c r="F186" s="32" t="s">
        <v>2585</v>
      </c>
      <c r="G186" s="56" t="s">
        <v>2587</v>
      </c>
      <c r="H186" s="33" t="s">
        <v>2714</v>
      </c>
      <c r="I186" s="29"/>
      <c r="J186" s="31" t="s">
        <v>2715</v>
      </c>
      <c r="K186" s="36"/>
      <c r="L186" s="38" t="s">
        <v>2708</v>
      </c>
      <c r="M186" s="38" t="s">
        <v>2710</v>
      </c>
      <c r="N186" s="28" t="s">
        <v>2711</v>
      </c>
      <c r="O186" s="31" t="s">
        <v>1854</v>
      </c>
      <c r="P186" s="31" t="s">
        <v>1855</v>
      </c>
      <c r="Q186" s="40" t="s">
        <v>2722</v>
      </c>
      <c r="R186" s="42"/>
      <c r="S186" s="94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91">
        <v>5</v>
      </c>
      <c r="B187" s="91" t="s">
        <v>1676</v>
      </c>
      <c r="C187" s="91">
        <v>56</v>
      </c>
      <c r="D187" s="32" t="s">
        <v>1688</v>
      </c>
      <c r="E187" s="32">
        <v>562</v>
      </c>
      <c r="F187" s="32" t="s">
        <v>1691</v>
      </c>
      <c r="G187" s="32" t="s">
        <v>1692</v>
      </c>
      <c r="H187" s="33" t="s">
        <v>2724</v>
      </c>
      <c r="I187" s="29"/>
      <c r="J187" s="31"/>
      <c r="K187" s="36"/>
      <c r="L187" s="38" t="s">
        <v>1695</v>
      </c>
      <c r="M187" s="38" t="s">
        <v>1696</v>
      </c>
      <c r="N187" s="28" t="s">
        <v>1698</v>
      </c>
      <c r="O187" s="31" t="s">
        <v>559</v>
      </c>
      <c r="P187" s="31" t="s">
        <v>625</v>
      </c>
      <c r="Q187" s="40" t="s">
        <v>1589</v>
      </c>
      <c r="R187" s="42"/>
      <c r="S187" s="53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91">
        <v>5</v>
      </c>
      <c r="B188" s="91" t="s">
        <v>1676</v>
      </c>
      <c r="C188" s="91">
        <v>56</v>
      </c>
      <c r="D188" s="32" t="s">
        <v>1688</v>
      </c>
      <c r="E188" s="32">
        <v>562</v>
      </c>
      <c r="F188" s="32" t="s">
        <v>1691</v>
      </c>
      <c r="G188" s="32" t="s">
        <v>1692</v>
      </c>
      <c r="H188" s="33" t="s">
        <v>2732</v>
      </c>
      <c r="I188" s="29" t="s">
        <v>2733</v>
      </c>
      <c r="J188" s="31" t="s">
        <v>2734</v>
      </c>
      <c r="K188" s="36"/>
      <c r="L188" s="38" t="s">
        <v>1695</v>
      </c>
      <c r="M188" s="38" t="s">
        <v>1696</v>
      </c>
      <c r="N188" s="28" t="s">
        <v>1698</v>
      </c>
      <c r="O188" s="31" t="s">
        <v>559</v>
      </c>
      <c r="P188" s="31" t="s">
        <v>625</v>
      </c>
      <c r="Q188" s="40" t="s">
        <v>2735</v>
      </c>
      <c r="R188" s="42"/>
      <c r="S188" s="53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91">
        <v>5</v>
      </c>
      <c r="B189" s="91" t="s">
        <v>1676</v>
      </c>
      <c r="C189" s="91">
        <v>56</v>
      </c>
      <c r="D189" s="32" t="s">
        <v>1688</v>
      </c>
      <c r="E189" s="32">
        <v>562</v>
      </c>
      <c r="F189" s="32" t="s">
        <v>1691</v>
      </c>
      <c r="G189" s="32" t="s">
        <v>1692</v>
      </c>
      <c r="H189" s="33" t="s">
        <v>2740</v>
      </c>
      <c r="I189" s="29" t="s">
        <v>2742</v>
      </c>
      <c r="J189" s="31"/>
      <c r="K189" s="36"/>
      <c r="L189" s="38" t="s">
        <v>1671</v>
      </c>
      <c r="M189" s="38" t="s">
        <v>1672</v>
      </c>
      <c r="N189" s="28" t="s">
        <v>1673</v>
      </c>
      <c r="O189" s="31" t="s">
        <v>559</v>
      </c>
      <c r="P189" s="31" t="s">
        <v>625</v>
      </c>
      <c r="Q189" s="40" t="s">
        <v>2745</v>
      </c>
      <c r="R189" s="42"/>
      <c r="S189" s="44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91">
        <v>5</v>
      </c>
      <c r="B190" s="91" t="s">
        <v>1676</v>
      </c>
      <c r="C190" s="91">
        <v>56</v>
      </c>
      <c r="D190" s="32" t="s">
        <v>1688</v>
      </c>
      <c r="E190" s="32">
        <v>562</v>
      </c>
      <c r="F190" s="32" t="s">
        <v>1691</v>
      </c>
      <c r="G190" s="32" t="s">
        <v>1692</v>
      </c>
      <c r="H190" s="33" t="s">
        <v>2754</v>
      </c>
      <c r="I190" s="29" t="s">
        <v>2756</v>
      </c>
      <c r="J190" s="31"/>
      <c r="K190" s="36"/>
      <c r="L190" s="38" t="s">
        <v>2757</v>
      </c>
      <c r="M190" s="85" t="s">
        <v>2758</v>
      </c>
      <c r="N190" s="28" t="s">
        <v>2760</v>
      </c>
      <c r="O190" s="31" t="s">
        <v>559</v>
      </c>
      <c r="P190" s="31" t="s">
        <v>625</v>
      </c>
      <c r="Q190" s="40" t="s">
        <v>2763</v>
      </c>
      <c r="R190" s="42"/>
      <c r="S190" s="44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91">
        <v>5</v>
      </c>
      <c r="B191" s="91" t="s">
        <v>1676</v>
      </c>
      <c r="C191" s="91">
        <v>56</v>
      </c>
      <c r="D191" s="32" t="s">
        <v>1688</v>
      </c>
      <c r="E191" s="32">
        <v>562</v>
      </c>
      <c r="F191" s="32" t="s">
        <v>1691</v>
      </c>
      <c r="G191" s="32" t="s">
        <v>1692</v>
      </c>
      <c r="H191" s="33" t="s">
        <v>2773</v>
      </c>
      <c r="I191" s="29" t="s">
        <v>2774</v>
      </c>
      <c r="J191" s="31" t="s">
        <v>2775</v>
      </c>
      <c r="K191" s="36"/>
      <c r="L191" s="38" t="s">
        <v>1517</v>
      </c>
      <c r="M191" s="38" t="s">
        <v>1518</v>
      </c>
      <c r="N191" s="28" t="s">
        <v>1519</v>
      </c>
      <c r="O191" s="31" t="s">
        <v>559</v>
      </c>
      <c r="P191" s="31" t="s">
        <v>625</v>
      </c>
      <c r="Q191" s="40" t="s">
        <v>1146</v>
      </c>
      <c r="R191" s="42"/>
      <c r="S191" s="53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91">
        <v>5</v>
      </c>
      <c r="B192" s="91" t="s">
        <v>1676</v>
      </c>
      <c r="C192" s="91">
        <v>56</v>
      </c>
      <c r="D192" s="32" t="s">
        <v>1688</v>
      </c>
      <c r="E192" s="32">
        <v>562</v>
      </c>
      <c r="F192" s="32" t="s">
        <v>1691</v>
      </c>
      <c r="G192" s="32" t="s">
        <v>1692</v>
      </c>
      <c r="H192" s="33" t="s">
        <v>2782</v>
      </c>
      <c r="I192" s="29"/>
      <c r="J192" s="31"/>
      <c r="K192" s="36"/>
      <c r="L192" s="38" t="s">
        <v>1695</v>
      </c>
      <c r="M192" s="38" t="s">
        <v>1696</v>
      </c>
      <c r="N192" s="28" t="s">
        <v>1698</v>
      </c>
      <c r="O192" s="31" t="s">
        <v>559</v>
      </c>
      <c r="P192" s="31" t="s">
        <v>625</v>
      </c>
      <c r="Q192" s="40" t="s">
        <v>1700</v>
      </c>
      <c r="R192" s="42"/>
      <c r="S192" s="53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91">
        <v>5</v>
      </c>
      <c r="B193" s="91" t="s">
        <v>1676</v>
      </c>
      <c r="C193" s="91">
        <v>56</v>
      </c>
      <c r="D193" s="32" t="s">
        <v>1688</v>
      </c>
      <c r="E193" s="32">
        <v>562</v>
      </c>
      <c r="F193" s="32" t="s">
        <v>1691</v>
      </c>
      <c r="G193" s="32" t="s">
        <v>1692</v>
      </c>
      <c r="H193" s="66" t="s">
        <v>2790</v>
      </c>
      <c r="I193" s="29" t="s">
        <v>2791</v>
      </c>
      <c r="J193" s="31"/>
      <c r="K193" s="36"/>
      <c r="L193" s="38" t="s">
        <v>1695</v>
      </c>
      <c r="M193" s="38" t="s">
        <v>1696</v>
      </c>
      <c r="N193" s="28" t="s">
        <v>1698</v>
      </c>
      <c r="O193" s="31" t="s">
        <v>559</v>
      </c>
      <c r="P193" s="31" t="s">
        <v>625</v>
      </c>
      <c r="Q193" s="40" t="s">
        <v>1700</v>
      </c>
      <c r="R193" s="42"/>
      <c r="S193" s="53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91">
        <v>5</v>
      </c>
      <c r="B194" s="91" t="s">
        <v>1676</v>
      </c>
      <c r="C194" s="91">
        <v>56</v>
      </c>
      <c r="D194" s="32" t="s">
        <v>1688</v>
      </c>
      <c r="E194" s="32">
        <v>562</v>
      </c>
      <c r="F194" s="32" t="s">
        <v>1691</v>
      </c>
      <c r="G194" s="32" t="s">
        <v>1692</v>
      </c>
      <c r="H194" s="33" t="s">
        <v>2792</v>
      </c>
      <c r="I194" s="29"/>
      <c r="J194" s="31"/>
      <c r="K194" s="36"/>
      <c r="L194" s="38" t="s">
        <v>1829</v>
      </c>
      <c r="M194" s="38" t="s">
        <v>2223</v>
      </c>
      <c r="N194" s="28" t="s">
        <v>2224</v>
      </c>
      <c r="O194" s="31" t="s">
        <v>2225</v>
      </c>
      <c r="P194" s="31" t="s">
        <v>2227</v>
      </c>
      <c r="Q194" s="40" t="s">
        <v>2241</v>
      </c>
      <c r="R194" s="42" t="s">
        <v>2242</v>
      </c>
      <c r="S194" s="53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91">
        <v>5</v>
      </c>
      <c r="B195" s="91" t="s">
        <v>1676</v>
      </c>
      <c r="C195" s="91">
        <v>56</v>
      </c>
      <c r="D195" s="32" t="s">
        <v>1688</v>
      </c>
      <c r="E195" s="32">
        <v>562</v>
      </c>
      <c r="F195" s="32" t="s">
        <v>1691</v>
      </c>
      <c r="G195" s="32" t="s">
        <v>1692</v>
      </c>
      <c r="H195" s="66" t="s">
        <v>2803</v>
      </c>
      <c r="I195" s="29" t="s">
        <v>2804</v>
      </c>
      <c r="J195" s="31" t="s">
        <v>2805</v>
      </c>
      <c r="K195" s="36"/>
      <c r="L195" s="38" t="s">
        <v>619</v>
      </c>
      <c r="M195" s="38" t="s">
        <v>621</v>
      </c>
      <c r="N195" s="28" t="s">
        <v>622</v>
      </c>
      <c r="O195" s="31" t="s">
        <v>2806</v>
      </c>
      <c r="P195" s="31" t="s">
        <v>2807</v>
      </c>
      <c r="Q195" s="40" t="s">
        <v>2808</v>
      </c>
      <c r="R195" s="42"/>
      <c r="S195" s="53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91">
        <v>5</v>
      </c>
      <c r="B196" s="91" t="s">
        <v>1676</v>
      </c>
      <c r="C196" s="91">
        <v>56</v>
      </c>
      <c r="D196" s="32" t="s">
        <v>1688</v>
      </c>
      <c r="E196" s="32">
        <v>562</v>
      </c>
      <c r="F196" s="32" t="s">
        <v>1691</v>
      </c>
      <c r="G196" s="32" t="s">
        <v>1692</v>
      </c>
      <c r="H196" s="66" t="s">
        <v>2809</v>
      </c>
      <c r="I196" s="29" t="s">
        <v>2810</v>
      </c>
      <c r="J196" s="31" t="s">
        <v>1694</v>
      </c>
      <c r="K196" s="36"/>
      <c r="L196" s="38" t="s">
        <v>1695</v>
      </c>
      <c r="M196" s="38" t="s">
        <v>1696</v>
      </c>
      <c r="N196" s="28" t="s">
        <v>1698</v>
      </c>
      <c r="O196" s="31" t="s">
        <v>559</v>
      </c>
      <c r="P196" s="31" t="s">
        <v>625</v>
      </c>
      <c r="Q196" s="40" t="s">
        <v>1700</v>
      </c>
      <c r="R196" s="42"/>
      <c r="S196" s="53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91">
        <v>5</v>
      </c>
      <c r="B197" s="91" t="s">
        <v>1676</v>
      </c>
      <c r="C197" s="91">
        <v>56</v>
      </c>
      <c r="D197" s="32" t="s">
        <v>1688</v>
      </c>
      <c r="E197" s="32">
        <v>562</v>
      </c>
      <c r="F197" s="32" t="s">
        <v>1691</v>
      </c>
      <c r="G197" s="32" t="s">
        <v>1692</v>
      </c>
      <c r="H197" s="66" t="s">
        <v>2815</v>
      </c>
      <c r="I197" s="28" t="s">
        <v>2817</v>
      </c>
      <c r="J197" s="31" t="s">
        <v>1694</v>
      </c>
      <c r="K197" s="36"/>
      <c r="L197" s="38" t="s">
        <v>1695</v>
      </c>
      <c r="M197" s="38" t="s">
        <v>1696</v>
      </c>
      <c r="N197" s="28" t="s">
        <v>1698</v>
      </c>
      <c r="O197" s="31" t="s">
        <v>559</v>
      </c>
      <c r="P197" s="31" t="s">
        <v>625</v>
      </c>
      <c r="Q197" s="40" t="s">
        <v>1700</v>
      </c>
      <c r="R197" s="42"/>
      <c r="S197" s="53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91">
        <v>5</v>
      </c>
      <c r="B198" s="91" t="s">
        <v>1676</v>
      </c>
      <c r="C198" s="91">
        <v>56</v>
      </c>
      <c r="D198" s="32" t="s">
        <v>1688</v>
      </c>
      <c r="E198" s="32">
        <v>562</v>
      </c>
      <c r="F198" s="32" t="s">
        <v>1691</v>
      </c>
      <c r="G198" s="32" t="s">
        <v>1692</v>
      </c>
      <c r="H198" s="66" t="s">
        <v>2826</v>
      </c>
      <c r="I198" s="29" t="s">
        <v>2826</v>
      </c>
      <c r="J198" s="31" t="s">
        <v>1694</v>
      </c>
      <c r="K198" s="36"/>
      <c r="L198" s="38" t="s">
        <v>1695</v>
      </c>
      <c r="M198" s="38" t="s">
        <v>1696</v>
      </c>
      <c r="N198" s="28" t="s">
        <v>1698</v>
      </c>
      <c r="O198" s="31" t="s">
        <v>559</v>
      </c>
      <c r="P198" s="31" t="s">
        <v>625</v>
      </c>
      <c r="Q198" s="40" t="s">
        <v>1700</v>
      </c>
      <c r="R198" s="42"/>
      <c r="S198" s="53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91">
        <v>5</v>
      </c>
      <c r="B199" s="91" t="s">
        <v>1676</v>
      </c>
      <c r="C199" s="91">
        <v>56</v>
      </c>
      <c r="D199" s="32" t="s">
        <v>1688</v>
      </c>
      <c r="E199" s="32">
        <v>562</v>
      </c>
      <c r="F199" s="32" t="s">
        <v>1691</v>
      </c>
      <c r="G199" s="32" t="s">
        <v>1692</v>
      </c>
      <c r="H199" s="33" t="s">
        <v>2837</v>
      </c>
      <c r="I199" s="29"/>
      <c r="J199" s="31" t="s">
        <v>1694</v>
      </c>
      <c r="K199" s="36"/>
      <c r="L199" s="38" t="s">
        <v>1695</v>
      </c>
      <c r="M199" s="38" t="s">
        <v>1696</v>
      </c>
      <c r="N199" s="28" t="s">
        <v>1698</v>
      </c>
      <c r="O199" s="31" t="s">
        <v>559</v>
      </c>
      <c r="P199" s="31" t="s">
        <v>625</v>
      </c>
      <c r="Q199" s="40" t="s">
        <v>1700</v>
      </c>
      <c r="R199" s="42"/>
      <c r="S199" s="53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91">
        <v>5</v>
      </c>
      <c r="B200" s="91" t="s">
        <v>1676</v>
      </c>
      <c r="C200" s="91">
        <v>56</v>
      </c>
      <c r="D200" s="32" t="s">
        <v>1688</v>
      </c>
      <c r="E200" s="32">
        <v>562</v>
      </c>
      <c r="F200" s="32" t="s">
        <v>1691</v>
      </c>
      <c r="G200" s="32" t="s">
        <v>1692</v>
      </c>
      <c r="H200" s="33" t="s">
        <v>2845</v>
      </c>
      <c r="I200" s="29" t="s">
        <v>2846</v>
      </c>
      <c r="J200" s="31"/>
      <c r="K200" s="36"/>
      <c r="L200" s="38" t="s">
        <v>2847</v>
      </c>
      <c r="M200" s="38" t="s">
        <v>2845</v>
      </c>
      <c r="N200" s="28" t="s">
        <v>2848</v>
      </c>
      <c r="O200" s="31" t="s">
        <v>2849</v>
      </c>
      <c r="P200" s="31" t="s">
        <v>2850</v>
      </c>
      <c r="Q200" s="40" t="s">
        <v>2851</v>
      </c>
      <c r="R200" s="42"/>
      <c r="S200" s="44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91">
        <v>5</v>
      </c>
      <c r="B201" s="91" t="s">
        <v>1676</v>
      </c>
      <c r="C201" s="91">
        <v>56</v>
      </c>
      <c r="D201" s="32" t="s">
        <v>1688</v>
      </c>
      <c r="E201" s="32">
        <v>562</v>
      </c>
      <c r="F201" s="32" t="s">
        <v>1691</v>
      </c>
      <c r="G201" s="32" t="s">
        <v>1692</v>
      </c>
      <c r="H201" s="33" t="s">
        <v>2686</v>
      </c>
      <c r="I201" s="29"/>
      <c r="J201" s="31" t="s">
        <v>2686</v>
      </c>
      <c r="K201" s="36"/>
      <c r="L201" s="38" t="s">
        <v>2687</v>
      </c>
      <c r="M201" s="38" t="s">
        <v>2688</v>
      </c>
      <c r="N201" s="28" t="s">
        <v>2689</v>
      </c>
      <c r="O201" s="31" t="s">
        <v>1854</v>
      </c>
      <c r="P201" s="31" t="s">
        <v>1855</v>
      </c>
      <c r="Q201" s="40" t="s">
        <v>2324</v>
      </c>
      <c r="R201" s="42" t="s">
        <v>2680</v>
      </c>
      <c r="S201" s="53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91">
        <v>5</v>
      </c>
      <c r="B202" s="91" t="s">
        <v>1676</v>
      </c>
      <c r="C202" s="91">
        <v>56</v>
      </c>
      <c r="D202" s="32" t="s">
        <v>1688</v>
      </c>
      <c r="E202" s="32">
        <v>562</v>
      </c>
      <c r="F202" s="32" t="s">
        <v>1691</v>
      </c>
      <c r="G202" s="32" t="s">
        <v>1692</v>
      </c>
      <c r="H202" s="33" t="s">
        <v>2858</v>
      </c>
      <c r="I202" s="29"/>
      <c r="J202" s="31"/>
      <c r="K202" s="36"/>
      <c r="L202" s="38" t="s">
        <v>1416</v>
      </c>
      <c r="M202" s="38" t="s">
        <v>1417</v>
      </c>
      <c r="N202" s="28" t="s">
        <v>1419</v>
      </c>
      <c r="O202" s="31" t="s">
        <v>2340</v>
      </c>
      <c r="P202" s="31" t="s">
        <v>2341</v>
      </c>
      <c r="Q202" s="40" t="s">
        <v>2343</v>
      </c>
      <c r="R202" s="42"/>
      <c r="S202" s="53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91">
        <v>5</v>
      </c>
      <c r="B203" s="91" t="s">
        <v>1676</v>
      </c>
      <c r="C203" s="91">
        <v>56</v>
      </c>
      <c r="D203" s="32" t="s">
        <v>1688</v>
      </c>
      <c r="E203" s="32">
        <v>562</v>
      </c>
      <c r="F203" s="32" t="s">
        <v>1691</v>
      </c>
      <c r="G203" s="32" t="s">
        <v>1692</v>
      </c>
      <c r="H203" s="33" t="s">
        <v>2863</v>
      </c>
      <c r="I203" s="29"/>
      <c r="J203" s="31"/>
      <c r="K203" s="36"/>
      <c r="L203" s="38" t="s">
        <v>2865</v>
      </c>
      <c r="M203" s="38" t="s">
        <v>2866</v>
      </c>
      <c r="N203" s="28" t="s">
        <v>2867</v>
      </c>
      <c r="O203" s="31" t="s">
        <v>559</v>
      </c>
      <c r="P203" s="31" t="s">
        <v>625</v>
      </c>
      <c r="Q203" s="40" t="s">
        <v>2763</v>
      </c>
      <c r="R203" s="42"/>
      <c r="S203" s="53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91">
        <v>5</v>
      </c>
      <c r="B204" s="91" t="s">
        <v>1676</v>
      </c>
      <c r="C204" s="91">
        <v>56</v>
      </c>
      <c r="D204" s="32" t="s">
        <v>1688</v>
      </c>
      <c r="E204" s="32">
        <v>562</v>
      </c>
      <c r="F204" s="32" t="s">
        <v>1691</v>
      </c>
      <c r="G204" s="32" t="s">
        <v>1692</v>
      </c>
      <c r="H204" s="33" t="s">
        <v>2873</v>
      </c>
      <c r="I204" s="29"/>
      <c r="J204" s="31"/>
      <c r="K204" s="36"/>
      <c r="L204" s="38" t="s">
        <v>1671</v>
      </c>
      <c r="M204" s="38" t="s">
        <v>1672</v>
      </c>
      <c r="N204" s="28" t="s">
        <v>1673</v>
      </c>
      <c r="O204" s="31" t="s">
        <v>559</v>
      </c>
      <c r="P204" s="31" t="s">
        <v>625</v>
      </c>
      <c r="Q204" s="40" t="s">
        <v>2763</v>
      </c>
      <c r="R204" s="42"/>
      <c r="S204" s="53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91">
        <v>5</v>
      </c>
      <c r="B205" s="91" t="s">
        <v>1676</v>
      </c>
      <c r="C205" s="91">
        <v>56</v>
      </c>
      <c r="D205" s="32" t="s">
        <v>1688</v>
      </c>
      <c r="E205" s="32">
        <v>562</v>
      </c>
      <c r="F205" s="32" t="s">
        <v>1691</v>
      </c>
      <c r="G205" s="32" t="s">
        <v>1692</v>
      </c>
      <c r="H205" s="33" t="s">
        <v>2881</v>
      </c>
      <c r="I205" s="29" t="s">
        <v>2882</v>
      </c>
      <c r="J205" s="31"/>
      <c r="K205" s="36"/>
      <c r="L205" s="38" t="s">
        <v>2883</v>
      </c>
      <c r="M205" s="38" t="s">
        <v>2884</v>
      </c>
      <c r="N205" s="28" t="s">
        <v>2885</v>
      </c>
      <c r="O205" s="31" t="s">
        <v>559</v>
      </c>
      <c r="P205" s="31" t="s">
        <v>625</v>
      </c>
      <c r="Q205" s="40" t="s">
        <v>1674</v>
      </c>
      <c r="R205" s="42"/>
      <c r="S205" s="53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91">
        <v>5</v>
      </c>
      <c r="B206" s="91" t="s">
        <v>1676</v>
      </c>
      <c r="C206" s="91">
        <v>56</v>
      </c>
      <c r="D206" s="32" t="s">
        <v>1688</v>
      </c>
      <c r="E206" s="32">
        <v>562</v>
      </c>
      <c r="F206" s="32" t="s">
        <v>1691</v>
      </c>
      <c r="G206" s="32" t="s">
        <v>1692</v>
      </c>
      <c r="H206" s="33" t="s">
        <v>2890</v>
      </c>
      <c r="I206" s="29"/>
      <c r="J206" s="31"/>
      <c r="K206" s="36"/>
      <c r="L206" s="38" t="s">
        <v>1829</v>
      </c>
      <c r="M206" s="38" t="s">
        <v>2223</v>
      </c>
      <c r="N206" s="28" t="s">
        <v>2224</v>
      </c>
      <c r="O206" s="31" t="s">
        <v>2225</v>
      </c>
      <c r="P206" s="31" t="s">
        <v>2227</v>
      </c>
      <c r="Q206" s="40" t="s">
        <v>2241</v>
      </c>
      <c r="R206" s="42" t="s">
        <v>2242</v>
      </c>
      <c r="S206" s="53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91">
        <v>5</v>
      </c>
      <c r="B207" s="91" t="s">
        <v>1676</v>
      </c>
      <c r="C207" s="91">
        <v>56</v>
      </c>
      <c r="D207" s="32" t="s">
        <v>1688</v>
      </c>
      <c r="E207" s="32">
        <v>562</v>
      </c>
      <c r="F207" s="32" t="s">
        <v>1691</v>
      </c>
      <c r="G207" s="32" t="s">
        <v>1692</v>
      </c>
      <c r="H207" s="33" t="s">
        <v>2895</v>
      </c>
      <c r="I207" s="29"/>
      <c r="J207" s="31"/>
      <c r="K207" s="36"/>
      <c r="L207" s="38" t="s">
        <v>1829</v>
      </c>
      <c r="M207" s="38" t="s">
        <v>2223</v>
      </c>
      <c r="N207" s="28" t="s">
        <v>2224</v>
      </c>
      <c r="O207" s="31" t="s">
        <v>2225</v>
      </c>
      <c r="P207" s="31" t="s">
        <v>2227</v>
      </c>
      <c r="Q207" s="40" t="s">
        <v>2241</v>
      </c>
      <c r="R207" s="42" t="s">
        <v>2242</v>
      </c>
      <c r="S207" s="53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91">
        <v>5</v>
      </c>
      <c r="B208" s="91" t="s">
        <v>1676</v>
      </c>
      <c r="C208" s="91">
        <v>56</v>
      </c>
      <c r="D208" s="32" t="s">
        <v>1688</v>
      </c>
      <c r="E208" s="32">
        <v>562</v>
      </c>
      <c r="F208" s="32" t="s">
        <v>1691</v>
      </c>
      <c r="G208" s="32" t="s">
        <v>1692</v>
      </c>
      <c r="H208" s="33" t="s">
        <v>2901</v>
      </c>
      <c r="I208" s="29"/>
      <c r="J208" s="31"/>
      <c r="K208" s="36"/>
      <c r="L208" s="38" t="s">
        <v>1829</v>
      </c>
      <c r="M208" s="38" t="s">
        <v>2223</v>
      </c>
      <c r="N208" s="28" t="s">
        <v>2224</v>
      </c>
      <c r="O208" s="31" t="s">
        <v>2225</v>
      </c>
      <c r="P208" s="31" t="s">
        <v>2227</v>
      </c>
      <c r="Q208" s="40" t="s">
        <v>2241</v>
      </c>
      <c r="R208" s="42" t="s">
        <v>2242</v>
      </c>
      <c r="S208" s="53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91">
        <v>5</v>
      </c>
      <c r="B209" s="91" t="s">
        <v>1676</v>
      </c>
      <c r="C209" s="91">
        <v>56</v>
      </c>
      <c r="D209" s="32" t="s">
        <v>1688</v>
      </c>
      <c r="E209" s="32">
        <v>562</v>
      </c>
      <c r="F209" s="32" t="s">
        <v>1691</v>
      </c>
      <c r="G209" s="32" t="s">
        <v>1692</v>
      </c>
      <c r="H209" s="33" t="s">
        <v>2908</v>
      </c>
      <c r="I209" s="29"/>
      <c r="J209" s="31"/>
      <c r="K209" s="36"/>
      <c r="L209" s="38" t="s">
        <v>1829</v>
      </c>
      <c r="M209" s="38" t="s">
        <v>2223</v>
      </c>
      <c r="N209" s="28" t="s">
        <v>2224</v>
      </c>
      <c r="O209" s="31" t="s">
        <v>2225</v>
      </c>
      <c r="P209" s="31" t="s">
        <v>2227</v>
      </c>
      <c r="Q209" s="40" t="s">
        <v>2241</v>
      </c>
      <c r="R209" s="42" t="s">
        <v>2242</v>
      </c>
      <c r="S209" s="53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91">
        <v>5</v>
      </c>
      <c r="B210" s="91" t="s">
        <v>1676</v>
      </c>
      <c r="C210" s="91">
        <v>56</v>
      </c>
      <c r="D210" s="32" t="s">
        <v>1688</v>
      </c>
      <c r="E210" s="32">
        <v>562</v>
      </c>
      <c r="F210" s="32" t="s">
        <v>1691</v>
      </c>
      <c r="G210" s="32" t="s">
        <v>1692</v>
      </c>
      <c r="H210" s="33" t="s">
        <v>2913</v>
      </c>
      <c r="I210" s="29"/>
      <c r="J210" s="31"/>
      <c r="K210" s="36"/>
      <c r="L210" s="38" t="s">
        <v>1829</v>
      </c>
      <c r="M210" s="38" t="s">
        <v>2223</v>
      </c>
      <c r="N210" s="28" t="s">
        <v>2224</v>
      </c>
      <c r="O210" s="31" t="s">
        <v>2225</v>
      </c>
      <c r="P210" s="31" t="s">
        <v>2227</v>
      </c>
      <c r="Q210" s="40" t="s">
        <v>2241</v>
      </c>
      <c r="R210" s="42" t="s">
        <v>2242</v>
      </c>
      <c r="S210" s="53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91">
        <v>5</v>
      </c>
      <c r="B211" s="91" t="s">
        <v>1676</v>
      </c>
      <c r="C211" s="91">
        <v>56</v>
      </c>
      <c r="D211" s="32" t="s">
        <v>1688</v>
      </c>
      <c r="E211" s="32">
        <v>562</v>
      </c>
      <c r="F211" s="32" t="s">
        <v>1691</v>
      </c>
      <c r="G211" s="32" t="s">
        <v>1692</v>
      </c>
      <c r="H211" s="33" t="s">
        <v>2920</v>
      </c>
      <c r="I211" s="29"/>
      <c r="J211" s="31"/>
      <c r="K211" s="36"/>
      <c r="L211" s="38" t="s">
        <v>1829</v>
      </c>
      <c r="M211" s="38" t="s">
        <v>2223</v>
      </c>
      <c r="N211" s="28" t="s">
        <v>2224</v>
      </c>
      <c r="O211" s="31" t="s">
        <v>2225</v>
      </c>
      <c r="P211" s="31" t="s">
        <v>2227</v>
      </c>
      <c r="Q211" s="40" t="s">
        <v>2241</v>
      </c>
      <c r="R211" s="42" t="s">
        <v>2242</v>
      </c>
      <c r="S211" s="53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91">
        <v>5</v>
      </c>
      <c r="B212" s="91" t="s">
        <v>1676</v>
      </c>
      <c r="C212" s="91">
        <v>56</v>
      </c>
      <c r="D212" s="32" t="s">
        <v>1688</v>
      </c>
      <c r="E212" s="32">
        <v>562</v>
      </c>
      <c r="F212" s="32" t="s">
        <v>1691</v>
      </c>
      <c r="G212" s="32" t="s">
        <v>1692</v>
      </c>
      <c r="H212" s="33" t="s">
        <v>2927</v>
      </c>
      <c r="I212" s="29"/>
      <c r="J212" s="31"/>
      <c r="K212" s="36"/>
      <c r="L212" s="38" t="s">
        <v>1829</v>
      </c>
      <c r="M212" s="38" t="s">
        <v>2223</v>
      </c>
      <c r="N212" s="28" t="s">
        <v>2224</v>
      </c>
      <c r="O212" s="31" t="s">
        <v>2225</v>
      </c>
      <c r="P212" s="31" t="s">
        <v>2227</v>
      </c>
      <c r="Q212" s="40" t="s">
        <v>2241</v>
      </c>
      <c r="R212" s="42" t="s">
        <v>2242</v>
      </c>
      <c r="S212" s="53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91">
        <v>5</v>
      </c>
      <c r="B213" s="91" t="s">
        <v>1676</v>
      </c>
      <c r="C213" s="91">
        <v>56</v>
      </c>
      <c r="D213" s="32" t="s">
        <v>1688</v>
      </c>
      <c r="E213" s="32">
        <v>562</v>
      </c>
      <c r="F213" s="32" t="s">
        <v>1691</v>
      </c>
      <c r="G213" s="32" t="s">
        <v>1692</v>
      </c>
      <c r="H213" s="33" t="s">
        <v>2938</v>
      </c>
      <c r="I213" s="29"/>
      <c r="J213" s="31"/>
      <c r="K213" s="36"/>
      <c r="L213" s="38" t="s">
        <v>1829</v>
      </c>
      <c r="M213" s="38" t="s">
        <v>2223</v>
      </c>
      <c r="N213" s="28" t="s">
        <v>2224</v>
      </c>
      <c r="O213" s="31" t="s">
        <v>2225</v>
      </c>
      <c r="P213" s="31" t="s">
        <v>2227</v>
      </c>
      <c r="Q213" s="40" t="s">
        <v>2241</v>
      </c>
      <c r="R213" s="42" t="s">
        <v>2242</v>
      </c>
      <c r="S213" s="53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91">
        <v>5</v>
      </c>
      <c r="B214" s="91" t="s">
        <v>1676</v>
      </c>
      <c r="C214" s="91">
        <v>56</v>
      </c>
      <c r="D214" s="32" t="s">
        <v>1688</v>
      </c>
      <c r="E214" s="32">
        <v>562</v>
      </c>
      <c r="F214" s="32" t="s">
        <v>1691</v>
      </c>
      <c r="G214" s="32" t="s">
        <v>1692</v>
      </c>
      <c r="H214" s="33" t="s">
        <v>2950</v>
      </c>
      <c r="I214" s="29"/>
      <c r="J214" s="31"/>
      <c r="K214" s="36"/>
      <c r="L214" s="38" t="s">
        <v>1829</v>
      </c>
      <c r="M214" s="38" t="s">
        <v>2223</v>
      </c>
      <c r="N214" s="28" t="s">
        <v>2224</v>
      </c>
      <c r="O214" s="31" t="s">
        <v>2225</v>
      </c>
      <c r="P214" s="31" t="s">
        <v>2227</v>
      </c>
      <c r="Q214" s="40" t="s">
        <v>2241</v>
      </c>
      <c r="R214" s="42" t="s">
        <v>2242</v>
      </c>
      <c r="S214" s="53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91">
        <v>5</v>
      </c>
      <c r="B215" s="91" t="s">
        <v>1676</v>
      </c>
      <c r="C215" s="91">
        <v>56</v>
      </c>
      <c r="D215" s="32" t="s">
        <v>1688</v>
      </c>
      <c r="E215" s="32">
        <v>562</v>
      </c>
      <c r="F215" s="32" t="s">
        <v>1691</v>
      </c>
      <c r="G215" s="32" t="s">
        <v>1692</v>
      </c>
      <c r="H215" s="33" t="s">
        <v>2960</v>
      </c>
      <c r="I215" s="29"/>
      <c r="J215" s="31"/>
      <c r="K215" s="36"/>
      <c r="L215" s="38" t="s">
        <v>1829</v>
      </c>
      <c r="M215" s="38" t="s">
        <v>2223</v>
      </c>
      <c r="N215" s="28" t="s">
        <v>2224</v>
      </c>
      <c r="O215" s="31" t="s">
        <v>2225</v>
      </c>
      <c r="P215" s="31" t="s">
        <v>2227</v>
      </c>
      <c r="Q215" s="40" t="s">
        <v>2241</v>
      </c>
      <c r="R215" s="42" t="s">
        <v>2242</v>
      </c>
      <c r="S215" s="53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91">
        <v>5</v>
      </c>
      <c r="B216" s="91" t="s">
        <v>1676</v>
      </c>
      <c r="C216" s="91">
        <v>56</v>
      </c>
      <c r="D216" s="32" t="s">
        <v>1688</v>
      </c>
      <c r="E216" s="32">
        <v>564</v>
      </c>
      <c r="F216" s="32" t="s">
        <v>2965</v>
      </c>
      <c r="G216" s="32" t="s">
        <v>2965</v>
      </c>
      <c r="H216" s="66" t="s">
        <v>2968</v>
      </c>
      <c r="I216" s="29"/>
      <c r="J216" s="34" t="s">
        <v>2970</v>
      </c>
      <c r="K216" s="36"/>
      <c r="L216" s="38" t="s">
        <v>1523</v>
      </c>
      <c r="M216" s="38" t="s">
        <v>1524</v>
      </c>
      <c r="N216" s="28" t="s">
        <v>1525</v>
      </c>
      <c r="O216" s="31" t="s">
        <v>1526</v>
      </c>
      <c r="P216" s="31" t="s">
        <v>1527</v>
      </c>
      <c r="Q216" s="40" t="s">
        <v>1528</v>
      </c>
      <c r="R216" s="42"/>
      <c r="S216" s="53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91">
        <v>5</v>
      </c>
      <c r="B217" s="91" t="s">
        <v>1676</v>
      </c>
      <c r="C217" s="91">
        <v>56</v>
      </c>
      <c r="D217" s="32" t="s">
        <v>1688</v>
      </c>
      <c r="E217" s="32">
        <v>564</v>
      </c>
      <c r="F217" s="32" t="s">
        <v>2965</v>
      </c>
      <c r="G217" s="32" t="s">
        <v>2965</v>
      </c>
      <c r="H217" s="33" t="s">
        <v>2973</v>
      </c>
      <c r="I217" s="29" t="s">
        <v>2974</v>
      </c>
      <c r="J217" s="31"/>
      <c r="K217" s="36"/>
      <c r="L217" s="38" t="s">
        <v>1517</v>
      </c>
      <c r="M217" s="38" t="s">
        <v>1518</v>
      </c>
      <c r="N217" s="28" t="s">
        <v>1519</v>
      </c>
      <c r="O217" s="31" t="s">
        <v>559</v>
      </c>
      <c r="P217" s="31" t="s">
        <v>625</v>
      </c>
      <c r="Q217" s="40" t="s">
        <v>2975</v>
      </c>
      <c r="R217" s="42"/>
      <c r="S217" s="53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91">
        <v>5</v>
      </c>
      <c r="B218" s="91" t="s">
        <v>1676</v>
      </c>
      <c r="C218" s="91">
        <v>56</v>
      </c>
      <c r="D218" s="32" t="s">
        <v>1688</v>
      </c>
      <c r="E218" s="32">
        <v>564</v>
      </c>
      <c r="F218" s="32" t="s">
        <v>2965</v>
      </c>
      <c r="G218" s="32" t="s">
        <v>2965</v>
      </c>
      <c r="H218" s="33" t="s">
        <v>2978</v>
      </c>
      <c r="I218" s="29"/>
      <c r="J218" s="31"/>
      <c r="K218" s="36"/>
      <c r="L218" s="38" t="s">
        <v>2979</v>
      </c>
      <c r="M218" s="38" t="s">
        <v>2980</v>
      </c>
      <c r="N218" s="28" t="s">
        <v>2981</v>
      </c>
      <c r="O218" s="31" t="s">
        <v>1140</v>
      </c>
      <c r="P218" s="31" t="s">
        <v>1141</v>
      </c>
      <c r="Q218" s="40" t="s">
        <v>2985</v>
      </c>
      <c r="R218" s="42"/>
      <c r="S218" s="53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91">
        <v>5</v>
      </c>
      <c r="B219" s="91" t="s">
        <v>1676</v>
      </c>
      <c r="C219" s="91">
        <v>56</v>
      </c>
      <c r="D219" s="32" t="s">
        <v>1688</v>
      </c>
      <c r="E219" s="32">
        <v>564</v>
      </c>
      <c r="F219" s="32" t="s">
        <v>2965</v>
      </c>
      <c r="G219" s="32" t="s">
        <v>2965</v>
      </c>
      <c r="H219" s="33" t="s">
        <v>2986</v>
      </c>
      <c r="I219" s="29"/>
      <c r="J219" s="31"/>
      <c r="K219" s="36"/>
      <c r="L219" s="38" t="s">
        <v>2979</v>
      </c>
      <c r="M219" s="38" t="s">
        <v>2980</v>
      </c>
      <c r="N219" s="28" t="s">
        <v>2981</v>
      </c>
      <c r="O219" s="31" t="s">
        <v>1140</v>
      </c>
      <c r="P219" s="31" t="s">
        <v>1141</v>
      </c>
      <c r="Q219" s="40" t="s">
        <v>2985</v>
      </c>
      <c r="R219" s="42"/>
      <c r="S219" s="53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91">
        <v>5</v>
      </c>
      <c r="B220" s="91" t="s">
        <v>1676</v>
      </c>
      <c r="C220" s="91">
        <v>56</v>
      </c>
      <c r="D220" s="32" t="s">
        <v>1688</v>
      </c>
      <c r="E220" s="32">
        <v>564</v>
      </c>
      <c r="F220" s="32" t="s">
        <v>2965</v>
      </c>
      <c r="G220" s="32" t="s">
        <v>2965</v>
      </c>
      <c r="H220" s="33" t="s">
        <v>2992</v>
      </c>
      <c r="I220" s="29"/>
      <c r="J220" s="31"/>
      <c r="K220" s="36"/>
      <c r="L220" s="38" t="s">
        <v>1517</v>
      </c>
      <c r="M220" s="38" t="s">
        <v>1518</v>
      </c>
      <c r="N220" s="28" t="s">
        <v>1519</v>
      </c>
      <c r="O220" s="31" t="s">
        <v>559</v>
      </c>
      <c r="P220" s="31" t="s">
        <v>625</v>
      </c>
      <c r="Q220" s="40" t="s">
        <v>1520</v>
      </c>
      <c r="R220" s="42"/>
      <c r="S220" s="53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91">
        <v>5</v>
      </c>
      <c r="B221" s="91" t="s">
        <v>1676</v>
      </c>
      <c r="C221" s="91">
        <v>56</v>
      </c>
      <c r="D221" s="32" t="s">
        <v>1688</v>
      </c>
      <c r="E221" s="32">
        <v>564</v>
      </c>
      <c r="F221" s="32" t="s">
        <v>2965</v>
      </c>
      <c r="G221" s="32" t="s">
        <v>2965</v>
      </c>
      <c r="H221" s="33" t="s">
        <v>3011</v>
      </c>
      <c r="I221" s="29"/>
      <c r="J221" s="31"/>
      <c r="K221" s="36"/>
      <c r="L221" s="38" t="s">
        <v>1517</v>
      </c>
      <c r="M221" s="38" t="s">
        <v>1518</v>
      </c>
      <c r="N221" s="28" t="s">
        <v>1519</v>
      </c>
      <c r="O221" s="31" t="s">
        <v>559</v>
      </c>
      <c r="P221" s="31" t="s">
        <v>625</v>
      </c>
      <c r="Q221" s="40" t="s">
        <v>1520</v>
      </c>
      <c r="R221" s="42"/>
      <c r="S221" s="53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91">
        <v>5</v>
      </c>
      <c r="B222" s="91" t="s">
        <v>1676</v>
      </c>
      <c r="C222" s="91">
        <v>56</v>
      </c>
      <c r="D222" s="32" t="s">
        <v>1688</v>
      </c>
      <c r="E222" s="32">
        <v>564</v>
      </c>
      <c r="F222" s="32" t="s">
        <v>2965</v>
      </c>
      <c r="G222" s="32" t="s">
        <v>2965</v>
      </c>
      <c r="H222" s="33" t="s">
        <v>3020</v>
      </c>
      <c r="I222" s="29" t="s">
        <v>3022</v>
      </c>
      <c r="J222" s="31"/>
      <c r="K222" s="36"/>
      <c r="L222" s="38" t="s">
        <v>1865</v>
      </c>
      <c r="M222" s="38" t="s">
        <v>3023</v>
      </c>
      <c r="N222" s="28" t="s">
        <v>3025</v>
      </c>
      <c r="O222" s="31" t="s">
        <v>559</v>
      </c>
      <c r="P222" s="31" t="s">
        <v>625</v>
      </c>
      <c r="Q222" s="40" t="s">
        <v>1867</v>
      </c>
      <c r="R222" s="42"/>
      <c r="S222" s="53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91">
        <v>5</v>
      </c>
      <c r="B223" s="91" t="s">
        <v>1676</v>
      </c>
      <c r="C223" s="91">
        <v>56</v>
      </c>
      <c r="D223" s="32" t="s">
        <v>1688</v>
      </c>
      <c r="E223" s="32">
        <v>564</v>
      </c>
      <c r="F223" s="32" t="s">
        <v>2965</v>
      </c>
      <c r="G223" s="32" t="s">
        <v>2965</v>
      </c>
      <c r="H223" s="33" t="s">
        <v>3030</v>
      </c>
      <c r="I223" s="29" t="s">
        <v>3022</v>
      </c>
      <c r="J223" s="31"/>
      <c r="K223" s="36"/>
      <c r="L223" s="38" t="s">
        <v>1865</v>
      </c>
      <c r="M223" s="38" t="s">
        <v>3023</v>
      </c>
      <c r="N223" s="28" t="s">
        <v>3025</v>
      </c>
      <c r="O223" s="31" t="s">
        <v>559</v>
      </c>
      <c r="P223" s="31" t="s">
        <v>625</v>
      </c>
      <c r="Q223" s="40" t="s">
        <v>1867</v>
      </c>
      <c r="R223" s="42"/>
      <c r="S223" s="53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91">
        <v>5</v>
      </c>
      <c r="B224" s="91" t="s">
        <v>1676</v>
      </c>
      <c r="C224" s="91">
        <v>56</v>
      </c>
      <c r="D224" s="32" t="s">
        <v>1688</v>
      </c>
      <c r="E224" s="32">
        <v>564</v>
      </c>
      <c r="F224" s="32" t="s">
        <v>2965</v>
      </c>
      <c r="G224" s="32" t="s">
        <v>2965</v>
      </c>
      <c r="H224" s="33" t="s">
        <v>3039</v>
      </c>
      <c r="I224" s="29"/>
      <c r="J224" s="31"/>
      <c r="K224" s="36"/>
      <c r="L224" s="38" t="s">
        <v>1517</v>
      </c>
      <c r="M224" s="38" t="s">
        <v>1518</v>
      </c>
      <c r="N224" s="28" t="s">
        <v>1519</v>
      </c>
      <c r="O224" s="31" t="s">
        <v>559</v>
      </c>
      <c r="P224" s="31" t="s">
        <v>625</v>
      </c>
      <c r="Q224" s="40" t="s">
        <v>1520</v>
      </c>
      <c r="R224" s="42"/>
      <c r="S224" s="53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91">
        <v>5</v>
      </c>
      <c r="B225" s="91" t="s">
        <v>1676</v>
      </c>
      <c r="C225" s="91">
        <v>56</v>
      </c>
      <c r="D225" s="32" t="s">
        <v>1688</v>
      </c>
      <c r="E225" s="32">
        <v>569</v>
      </c>
      <c r="F225" s="32" t="s">
        <v>3047</v>
      </c>
      <c r="G225" s="32" t="s">
        <v>1826</v>
      </c>
      <c r="H225" s="33" t="s">
        <v>3050</v>
      </c>
      <c r="I225" s="29" t="s">
        <v>3052</v>
      </c>
      <c r="J225" s="31" t="s">
        <v>3053</v>
      </c>
      <c r="K225" s="36"/>
      <c r="L225" s="38" t="s">
        <v>619</v>
      </c>
      <c r="M225" s="38" t="s">
        <v>621</v>
      </c>
      <c r="N225" s="28" t="s">
        <v>622</v>
      </c>
      <c r="O225" s="31" t="s">
        <v>559</v>
      </c>
      <c r="P225" s="31" t="s">
        <v>625</v>
      </c>
      <c r="Q225" s="40" t="s">
        <v>3057</v>
      </c>
      <c r="R225" s="42"/>
      <c r="S225" s="53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91">
        <v>5</v>
      </c>
      <c r="B226" s="91" t="s">
        <v>1676</v>
      </c>
      <c r="C226" s="91">
        <v>56</v>
      </c>
      <c r="D226" s="32" t="s">
        <v>1688</v>
      </c>
      <c r="E226" s="32">
        <v>569</v>
      </c>
      <c r="F226" s="32" t="s">
        <v>3047</v>
      </c>
      <c r="G226" s="32" t="s">
        <v>1826</v>
      </c>
      <c r="H226" s="33" t="s">
        <v>3061</v>
      </c>
      <c r="I226" s="29" t="s">
        <v>3062</v>
      </c>
      <c r="J226" s="31"/>
      <c r="K226" s="36"/>
      <c r="L226" s="38"/>
      <c r="M226" s="38"/>
      <c r="N226" s="29"/>
      <c r="O226" s="31" t="s">
        <v>559</v>
      </c>
      <c r="P226" s="31" t="s">
        <v>625</v>
      </c>
      <c r="Q226" s="40" t="s">
        <v>3063</v>
      </c>
      <c r="R226" s="42"/>
      <c r="S226" s="53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91">
        <v>5</v>
      </c>
      <c r="B227" s="91" t="s">
        <v>1676</v>
      </c>
      <c r="C227" s="91">
        <v>56</v>
      </c>
      <c r="D227" s="32" t="s">
        <v>1688</v>
      </c>
      <c r="E227" s="32">
        <v>569</v>
      </c>
      <c r="F227" s="32" t="s">
        <v>3047</v>
      </c>
      <c r="G227" s="32" t="s">
        <v>1826</v>
      </c>
      <c r="H227" s="33" t="s">
        <v>3070</v>
      </c>
      <c r="I227" s="29" t="s">
        <v>3072</v>
      </c>
      <c r="J227" s="31"/>
      <c r="K227" s="36"/>
      <c r="L227" s="38"/>
      <c r="M227" s="38"/>
      <c r="N227" s="29"/>
      <c r="O227" s="31" t="s">
        <v>559</v>
      </c>
      <c r="P227" s="31" t="s">
        <v>625</v>
      </c>
      <c r="Q227" s="40" t="s">
        <v>3074</v>
      </c>
      <c r="R227" s="42"/>
      <c r="S227" s="53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91">
        <v>5</v>
      </c>
      <c r="B228" s="91" t="s">
        <v>1676</v>
      </c>
      <c r="C228" s="91">
        <v>56</v>
      </c>
      <c r="D228" s="32" t="s">
        <v>1688</v>
      </c>
      <c r="E228" s="32">
        <v>569</v>
      </c>
      <c r="F228" s="32" t="s">
        <v>3047</v>
      </c>
      <c r="G228" s="32" t="s">
        <v>1826</v>
      </c>
      <c r="H228" s="33" t="s">
        <v>3081</v>
      </c>
      <c r="I228" s="29"/>
      <c r="J228" s="31"/>
      <c r="K228" s="36"/>
      <c r="L228" s="38"/>
      <c r="M228" s="38"/>
      <c r="N228" s="29"/>
      <c r="O228" s="31" t="s">
        <v>559</v>
      </c>
      <c r="P228" s="31" t="s">
        <v>625</v>
      </c>
      <c r="Q228" s="40" t="s">
        <v>1896</v>
      </c>
      <c r="R228" s="42"/>
      <c r="S228" s="53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91">
        <v>5</v>
      </c>
      <c r="B229" s="91" t="s">
        <v>1676</v>
      </c>
      <c r="C229" s="91">
        <v>56</v>
      </c>
      <c r="D229" s="32" t="s">
        <v>1688</v>
      </c>
      <c r="E229" s="32">
        <v>569</v>
      </c>
      <c r="F229" s="32" t="s">
        <v>3047</v>
      </c>
      <c r="G229" s="32" t="s">
        <v>1826</v>
      </c>
      <c r="H229" s="33" t="s">
        <v>3088</v>
      </c>
      <c r="I229" s="29"/>
      <c r="J229" s="31"/>
      <c r="K229" s="36"/>
      <c r="L229" s="38"/>
      <c r="M229" s="38"/>
      <c r="N229" s="29"/>
      <c r="O229" s="31" t="s">
        <v>1240</v>
      </c>
      <c r="P229" s="31" t="s">
        <v>1241</v>
      </c>
      <c r="Q229" s="40" t="s">
        <v>3093</v>
      </c>
      <c r="R229" s="42"/>
      <c r="S229" s="53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62"/>
      <c r="B230" s="62"/>
      <c r="C230" s="62"/>
      <c r="D230" s="62"/>
      <c r="E230" s="62"/>
      <c r="F230" s="62"/>
      <c r="G230" s="62"/>
      <c r="H230" s="63"/>
      <c r="I230" s="57"/>
      <c r="J230" s="75"/>
      <c r="K230" s="76"/>
      <c r="L230" s="80"/>
      <c r="M230" s="81"/>
      <c r="N230" s="82"/>
      <c r="O230" s="75"/>
      <c r="P230" s="75"/>
      <c r="Q230" s="83"/>
      <c r="R230" s="83"/>
      <c r="S230" s="10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62"/>
      <c r="B231" s="62"/>
      <c r="C231" s="62"/>
      <c r="D231" s="62"/>
      <c r="E231" s="62"/>
      <c r="F231" s="62"/>
      <c r="G231" s="62"/>
      <c r="H231" s="63"/>
      <c r="I231" s="57"/>
      <c r="J231" s="75"/>
      <c r="K231" s="76"/>
      <c r="L231" s="80"/>
      <c r="M231" s="81"/>
      <c r="N231" s="82"/>
      <c r="O231" s="75"/>
      <c r="P231" s="75"/>
      <c r="Q231" s="83"/>
      <c r="R231" s="83"/>
      <c r="S231" s="10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62"/>
      <c r="B232" s="62"/>
      <c r="C232" s="62"/>
      <c r="D232" s="62"/>
      <c r="E232" s="62"/>
      <c r="F232" s="62"/>
      <c r="G232" s="62"/>
      <c r="H232" s="63"/>
      <c r="I232" s="57"/>
      <c r="J232" s="75"/>
      <c r="K232" s="76"/>
      <c r="L232" s="80"/>
      <c r="M232" s="81"/>
      <c r="N232" s="82"/>
      <c r="O232" s="75"/>
      <c r="P232" s="75"/>
      <c r="Q232" s="83"/>
      <c r="R232" s="83"/>
      <c r="S232" s="10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62"/>
      <c r="B233" s="62"/>
      <c r="C233" s="62"/>
      <c r="D233" s="62"/>
      <c r="E233" s="62"/>
      <c r="F233" s="62"/>
      <c r="G233" s="62"/>
      <c r="H233" s="63"/>
      <c r="I233" s="57"/>
      <c r="J233" s="75"/>
      <c r="K233" s="76"/>
      <c r="L233" s="80"/>
      <c r="M233" s="81"/>
      <c r="N233" s="82"/>
      <c r="O233" s="75"/>
      <c r="P233" s="75"/>
      <c r="Q233" s="83"/>
      <c r="R233" s="83"/>
      <c r="S233" s="10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62"/>
      <c r="B234" s="62"/>
      <c r="C234" s="62"/>
      <c r="D234" s="62"/>
      <c r="E234" s="62"/>
      <c r="F234" s="62"/>
      <c r="G234" s="62"/>
      <c r="H234" s="63"/>
      <c r="I234" s="57"/>
      <c r="J234" s="75"/>
      <c r="K234" s="76"/>
      <c r="L234" s="80"/>
      <c r="M234" s="81"/>
      <c r="N234" s="82"/>
      <c r="O234" s="75"/>
      <c r="P234" s="75"/>
      <c r="Q234" s="83"/>
      <c r="R234" s="83"/>
      <c r="S234" s="10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62"/>
      <c r="B235" s="62"/>
      <c r="C235" s="62"/>
      <c r="D235" s="62"/>
      <c r="E235" s="62"/>
      <c r="F235" s="62"/>
      <c r="G235" s="62"/>
      <c r="H235" s="63"/>
      <c r="I235" s="57"/>
      <c r="J235" s="75"/>
      <c r="K235" s="76"/>
      <c r="L235" s="80"/>
      <c r="M235" s="81"/>
      <c r="N235" s="82"/>
      <c r="O235" s="75"/>
      <c r="P235" s="75"/>
      <c r="Q235" s="83"/>
      <c r="R235" s="83"/>
      <c r="S235" s="10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62"/>
      <c r="B236" s="62"/>
      <c r="C236" s="62"/>
      <c r="D236" s="62"/>
      <c r="E236" s="62"/>
      <c r="F236" s="62"/>
      <c r="G236" s="62"/>
      <c r="H236" s="63"/>
      <c r="I236" s="57"/>
      <c r="J236" s="75"/>
      <c r="K236" s="76"/>
      <c r="L236" s="80"/>
      <c r="M236" s="81"/>
      <c r="N236" s="82"/>
      <c r="O236" s="75"/>
      <c r="P236" s="75"/>
      <c r="Q236" s="83"/>
      <c r="R236" s="83"/>
      <c r="S236" s="10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62"/>
      <c r="B237" s="62"/>
      <c r="C237" s="62"/>
      <c r="D237" s="62"/>
      <c r="E237" s="62"/>
      <c r="F237" s="62"/>
      <c r="G237" s="62"/>
      <c r="H237" s="63"/>
      <c r="I237" s="57"/>
      <c r="J237" s="75"/>
      <c r="K237" s="76"/>
      <c r="L237" s="80"/>
      <c r="M237" s="81"/>
      <c r="N237" s="82"/>
      <c r="O237" s="75"/>
      <c r="P237" s="75"/>
      <c r="Q237" s="83"/>
      <c r="R237" s="83"/>
      <c r="S237" s="10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62"/>
      <c r="B238" s="62"/>
      <c r="C238" s="62"/>
      <c r="D238" s="62"/>
      <c r="E238" s="62"/>
      <c r="F238" s="62"/>
      <c r="G238" s="62"/>
      <c r="H238" s="63"/>
      <c r="I238" s="57"/>
      <c r="J238" s="75"/>
      <c r="K238" s="76"/>
      <c r="L238" s="80"/>
      <c r="M238" s="81"/>
      <c r="N238" s="82"/>
      <c r="O238" s="75"/>
      <c r="P238" s="75"/>
      <c r="Q238" s="83"/>
      <c r="R238" s="83"/>
      <c r="S238" s="10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62"/>
      <c r="B239" s="62"/>
      <c r="C239" s="62"/>
      <c r="D239" s="62"/>
      <c r="E239" s="62"/>
      <c r="F239" s="62"/>
      <c r="G239" s="62"/>
      <c r="H239" s="63"/>
      <c r="I239" s="57"/>
      <c r="J239" s="75"/>
      <c r="K239" s="76"/>
      <c r="L239" s="80"/>
      <c r="M239" s="81"/>
      <c r="N239" s="82"/>
      <c r="O239" s="75"/>
      <c r="P239" s="75"/>
      <c r="Q239" s="83"/>
      <c r="R239" s="83"/>
      <c r="S239" s="79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62"/>
      <c r="B240" s="62"/>
      <c r="C240" s="62"/>
      <c r="D240" s="62"/>
      <c r="E240" s="62"/>
      <c r="F240" s="62"/>
      <c r="G240" s="62"/>
      <c r="H240" s="63"/>
      <c r="I240" s="57"/>
      <c r="J240" s="75"/>
      <c r="K240" s="76"/>
      <c r="L240" s="80"/>
      <c r="M240" s="81"/>
      <c r="N240" s="82"/>
      <c r="O240" s="75"/>
      <c r="P240" s="75"/>
      <c r="Q240" s="83"/>
      <c r="R240" s="83"/>
      <c r="S240" s="10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62"/>
      <c r="B241" s="62"/>
      <c r="C241" s="62"/>
      <c r="D241" s="62"/>
      <c r="E241" s="62"/>
      <c r="F241" s="62"/>
      <c r="G241" s="62"/>
      <c r="H241" s="63"/>
      <c r="I241" s="57"/>
      <c r="J241" s="75"/>
      <c r="K241" s="76"/>
      <c r="L241" s="80"/>
      <c r="M241" s="81"/>
      <c r="N241" s="82"/>
      <c r="O241" s="75"/>
      <c r="P241" s="75"/>
      <c r="Q241" s="83"/>
      <c r="R241" s="83"/>
      <c r="S241" s="10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62"/>
      <c r="B242" s="62"/>
      <c r="C242" s="62"/>
      <c r="D242" s="62"/>
      <c r="E242" s="62"/>
      <c r="F242" s="62"/>
      <c r="G242" s="62"/>
      <c r="H242" s="63"/>
      <c r="I242" s="57"/>
      <c r="J242" s="75"/>
      <c r="K242" s="76"/>
      <c r="L242" s="80"/>
      <c r="M242" s="81"/>
      <c r="N242" s="82"/>
      <c r="O242" s="75"/>
      <c r="P242" s="75"/>
      <c r="Q242" s="83"/>
      <c r="R242" s="83"/>
      <c r="S242" s="10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62"/>
      <c r="B243" s="62"/>
      <c r="C243" s="62"/>
      <c r="D243" s="62"/>
      <c r="E243" s="62"/>
      <c r="F243" s="62"/>
      <c r="G243" s="62"/>
      <c r="H243" s="63"/>
      <c r="I243" s="57"/>
      <c r="J243" s="75"/>
      <c r="K243" s="76"/>
      <c r="L243" s="80"/>
      <c r="M243" s="81"/>
      <c r="N243" s="82"/>
      <c r="O243" s="75"/>
      <c r="P243" s="75"/>
      <c r="Q243" s="83"/>
      <c r="R243" s="83"/>
      <c r="S243" s="10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62"/>
      <c r="B244" s="62"/>
      <c r="C244" s="62"/>
      <c r="D244" s="62"/>
      <c r="E244" s="62"/>
      <c r="F244" s="62"/>
      <c r="G244" s="62"/>
      <c r="H244" s="63"/>
      <c r="I244" s="57"/>
      <c r="J244" s="75"/>
      <c r="K244" s="76"/>
      <c r="L244" s="80"/>
      <c r="M244" s="81"/>
      <c r="N244" s="82"/>
      <c r="O244" s="75"/>
      <c r="P244" s="75"/>
      <c r="Q244" s="83"/>
      <c r="R244" s="83"/>
      <c r="S244" s="10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62"/>
      <c r="B245" s="62"/>
      <c r="C245" s="62"/>
      <c r="D245" s="62"/>
      <c r="E245" s="62"/>
      <c r="F245" s="62"/>
      <c r="G245" s="62"/>
      <c r="H245" s="63"/>
      <c r="I245" s="57"/>
      <c r="J245" s="75"/>
      <c r="K245" s="76"/>
      <c r="L245" s="80"/>
      <c r="M245" s="81"/>
      <c r="N245" s="82"/>
      <c r="O245" s="75"/>
      <c r="P245" s="75"/>
      <c r="Q245" s="83"/>
      <c r="R245" s="83"/>
      <c r="S245" s="10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62"/>
      <c r="B246" s="62"/>
      <c r="C246" s="62"/>
      <c r="D246" s="62"/>
      <c r="E246" s="62"/>
      <c r="F246" s="62"/>
      <c r="G246" s="62"/>
      <c r="H246" s="63"/>
      <c r="I246" s="57"/>
      <c r="J246" s="75"/>
      <c r="K246" s="76"/>
      <c r="L246" s="80"/>
      <c r="M246" s="81"/>
      <c r="N246" s="82"/>
      <c r="O246" s="75"/>
      <c r="P246" s="75"/>
      <c r="Q246" s="83"/>
      <c r="R246" s="83"/>
      <c r="S246" s="10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62"/>
      <c r="B247" s="62"/>
      <c r="C247" s="62"/>
      <c r="D247" s="62"/>
      <c r="E247" s="62"/>
      <c r="F247" s="62"/>
      <c r="G247" s="62"/>
      <c r="H247" s="63"/>
      <c r="I247" s="57"/>
      <c r="J247" s="75"/>
      <c r="K247" s="76"/>
      <c r="L247" s="80"/>
      <c r="M247" s="81"/>
      <c r="N247" s="82"/>
      <c r="O247" s="75"/>
      <c r="P247" s="75"/>
      <c r="Q247" s="83"/>
      <c r="R247" s="83"/>
      <c r="S247" s="10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62"/>
      <c r="B248" s="62"/>
      <c r="C248" s="62"/>
      <c r="D248" s="62"/>
      <c r="E248" s="62"/>
      <c r="F248" s="62"/>
      <c r="G248" s="62"/>
      <c r="H248" s="63"/>
      <c r="I248" s="57"/>
      <c r="J248" s="75"/>
      <c r="K248" s="76"/>
      <c r="L248" s="80"/>
      <c r="M248" s="81"/>
      <c r="N248" s="82"/>
      <c r="O248" s="75"/>
      <c r="P248" s="75"/>
      <c r="Q248" s="83"/>
      <c r="R248" s="83"/>
      <c r="S248" s="10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62"/>
      <c r="B249" s="62"/>
      <c r="C249" s="62"/>
      <c r="D249" s="62"/>
      <c r="E249" s="62"/>
      <c r="F249" s="62"/>
      <c r="G249" s="62"/>
      <c r="H249" s="63"/>
      <c r="I249" s="57"/>
      <c r="J249" s="75"/>
      <c r="K249" s="76"/>
      <c r="L249" s="80"/>
      <c r="M249" s="81"/>
      <c r="N249" s="82"/>
      <c r="O249" s="75"/>
      <c r="P249" s="75"/>
      <c r="Q249" s="83"/>
      <c r="R249" s="83"/>
      <c r="S249" s="10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62"/>
      <c r="B250" s="62"/>
      <c r="C250" s="62"/>
      <c r="D250" s="62"/>
      <c r="E250" s="62"/>
      <c r="F250" s="62"/>
      <c r="G250" s="62"/>
      <c r="H250" s="63"/>
      <c r="I250" s="57"/>
      <c r="J250" s="75"/>
      <c r="K250" s="76"/>
      <c r="L250" s="80"/>
      <c r="M250" s="81"/>
      <c r="N250" s="82"/>
      <c r="O250" s="75"/>
      <c r="P250" s="75"/>
      <c r="Q250" s="83"/>
      <c r="R250" s="83"/>
      <c r="S250" s="10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62"/>
      <c r="B251" s="62"/>
      <c r="C251" s="62"/>
      <c r="D251" s="62"/>
      <c r="E251" s="62"/>
      <c r="F251" s="62"/>
      <c r="G251" s="62"/>
      <c r="H251" s="63"/>
      <c r="I251" s="57"/>
      <c r="J251" s="75"/>
      <c r="K251" s="76"/>
      <c r="L251" s="80"/>
      <c r="M251" s="81"/>
      <c r="N251" s="82"/>
      <c r="O251" s="75"/>
      <c r="P251" s="75"/>
      <c r="Q251" s="83"/>
      <c r="R251" s="83"/>
      <c r="S251" s="10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62"/>
      <c r="B252" s="62"/>
      <c r="C252" s="62"/>
      <c r="D252" s="62"/>
      <c r="E252" s="62"/>
      <c r="F252" s="62"/>
      <c r="G252" s="62"/>
      <c r="H252" s="63"/>
      <c r="I252" s="57"/>
      <c r="J252" s="75"/>
      <c r="K252" s="76"/>
      <c r="L252" s="80"/>
      <c r="M252" s="81"/>
      <c r="N252" s="82"/>
      <c r="O252" s="75"/>
      <c r="P252" s="75"/>
      <c r="Q252" s="83"/>
      <c r="R252" s="83"/>
      <c r="S252" s="10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62"/>
      <c r="B253" s="62"/>
      <c r="C253" s="62"/>
      <c r="D253" s="62"/>
      <c r="E253" s="62"/>
      <c r="F253" s="62"/>
      <c r="G253" s="62"/>
      <c r="H253" s="63"/>
      <c r="I253" s="57"/>
      <c r="J253" s="75"/>
      <c r="K253" s="76"/>
      <c r="L253" s="80"/>
      <c r="M253" s="81"/>
      <c r="N253" s="82"/>
      <c r="O253" s="75"/>
      <c r="P253" s="75"/>
      <c r="Q253" s="83"/>
      <c r="R253" s="83"/>
      <c r="S253" s="10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62"/>
      <c r="B254" s="62"/>
      <c r="C254" s="62"/>
      <c r="D254" s="62"/>
      <c r="E254" s="62"/>
      <c r="F254" s="62"/>
      <c r="G254" s="62"/>
      <c r="H254" s="63"/>
      <c r="I254" s="57"/>
      <c r="J254" s="75"/>
      <c r="K254" s="76"/>
      <c r="L254" s="80"/>
      <c r="M254" s="81"/>
      <c r="N254" s="82"/>
      <c r="O254" s="75"/>
      <c r="P254" s="75"/>
      <c r="Q254" s="83"/>
      <c r="R254" s="83"/>
      <c r="S254" s="10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62"/>
      <c r="B255" s="62"/>
      <c r="C255" s="62"/>
      <c r="D255" s="62"/>
      <c r="E255" s="62"/>
      <c r="F255" s="62"/>
      <c r="G255" s="62"/>
      <c r="H255" s="63"/>
      <c r="I255" s="57"/>
      <c r="J255" s="75"/>
      <c r="K255" s="76"/>
      <c r="L255" s="80"/>
      <c r="M255" s="81"/>
      <c r="N255" s="82"/>
      <c r="O255" s="75"/>
      <c r="P255" s="75"/>
      <c r="Q255" s="83"/>
      <c r="R255" s="83"/>
      <c r="S255" s="10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62"/>
      <c r="B256" s="62"/>
      <c r="C256" s="62"/>
      <c r="D256" s="62"/>
      <c r="E256" s="62"/>
      <c r="F256" s="62"/>
      <c r="G256" s="62"/>
      <c r="H256" s="63"/>
      <c r="I256" s="57"/>
      <c r="J256" s="75"/>
      <c r="K256" s="76"/>
      <c r="L256" s="80"/>
      <c r="M256" s="81"/>
      <c r="N256" s="82"/>
      <c r="O256" s="75"/>
      <c r="P256" s="75"/>
      <c r="Q256" s="83"/>
      <c r="R256" s="83"/>
      <c r="S256" s="10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62"/>
      <c r="B257" s="62"/>
      <c r="C257" s="62"/>
      <c r="D257" s="62"/>
      <c r="E257" s="62"/>
      <c r="F257" s="62"/>
      <c r="G257" s="62"/>
      <c r="H257" s="63"/>
      <c r="I257" s="57"/>
      <c r="J257" s="75"/>
      <c r="K257" s="76"/>
      <c r="L257" s="80"/>
      <c r="M257" s="81"/>
      <c r="N257" s="82"/>
      <c r="O257" s="75"/>
      <c r="P257" s="75"/>
      <c r="Q257" s="83"/>
      <c r="R257" s="83"/>
      <c r="S257" s="10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62"/>
      <c r="B258" s="62"/>
      <c r="C258" s="62"/>
      <c r="D258" s="62"/>
      <c r="E258" s="62"/>
      <c r="F258" s="62"/>
      <c r="G258" s="62"/>
      <c r="H258" s="63"/>
      <c r="I258" s="57"/>
      <c r="J258" s="75"/>
      <c r="K258" s="76"/>
      <c r="L258" s="80"/>
      <c r="M258" s="81"/>
      <c r="N258" s="82"/>
      <c r="O258" s="75"/>
      <c r="P258" s="75"/>
      <c r="Q258" s="83"/>
      <c r="R258" s="83"/>
      <c r="S258" s="10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62"/>
      <c r="B259" s="62"/>
      <c r="C259" s="62"/>
      <c r="D259" s="62"/>
      <c r="E259" s="62"/>
      <c r="F259" s="62"/>
      <c r="G259" s="62"/>
      <c r="H259" s="63"/>
      <c r="I259" s="57"/>
      <c r="J259" s="75"/>
      <c r="K259" s="76"/>
      <c r="L259" s="80"/>
      <c r="M259" s="81"/>
      <c r="N259" s="82"/>
      <c r="O259" s="75"/>
      <c r="P259" s="75"/>
      <c r="Q259" s="83"/>
      <c r="R259" s="83"/>
      <c r="S259" s="10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62"/>
      <c r="B260" s="62"/>
      <c r="C260" s="62"/>
      <c r="D260" s="62"/>
      <c r="E260" s="62"/>
      <c r="F260" s="62"/>
      <c r="G260" s="62"/>
      <c r="H260" s="63"/>
      <c r="I260" s="57"/>
      <c r="J260" s="75"/>
      <c r="K260" s="76"/>
      <c r="L260" s="80"/>
      <c r="M260" s="81"/>
      <c r="N260" s="82"/>
      <c r="O260" s="75"/>
      <c r="P260" s="75"/>
      <c r="Q260" s="83"/>
      <c r="R260" s="83"/>
      <c r="S260" s="10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62"/>
      <c r="B261" s="62"/>
      <c r="C261" s="62"/>
      <c r="D261" s="62"/>
      <c r="E261" s="62"/>
      <c r="F261" s="62"/>
      <c r="G261" s="62"/>
      <c r="H261" s="63"/>
      <c r="I261" s="57"/>
      <c r="J261" s="75"/>
      <c r="K261" s="76"/>
      <c r="L261" s="80"/>
      <c r="M261" s="81"/>
      <c r="N261" s="82"/>
      <c r="O261" s="75"/>
      <c r="P261" s="75"/>
      <c r="Q261" s="83"/>
      <c r="R261" s="83"/>
      <c r="S261" s="10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62"/>
      <c r="B262" s="62"/>
      <c r="C262" s="62"/>
      <c r="D262" s="62"/>
      <c r="E262" s="62"/>
      <c r="F262" s="62"/>
      <c r="G262" s="62"/>
      <c r="H262" s="63"/>
      <c r="I262" s="57"/>
      <c r="J262" s="75"/>
      <c r="K262" s="76"/>
      <c r="L262" s="80"/>
      <c r="M262" s="81"/>
      <c r="N262" s="82"/>
      <c r="O262" s="75"/>
      <c r="P262" s="75"/>
      <c r="Q262" s="83"/>
      <c r="R262" s="83"/>
      <c r="S262" s="10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62"/>
      <c r="B263" s="62"/>
      <c r="C263" s="62"/>
      <c r="D263" s="62"/>
      <c r="E263" s="62"/>
      <c r="F263" s="62"/>
      <c r="G263" s="62"/>
      <c r="H263" s="63"/>
      <c r="I263" s="57"/>
      <c r="J263" s="75"/>
      <c r="K263" s="76"/>
      <c r="L263" s="80"/>
      <c r="M263" s="81"/>
      <c r="N263" s="82"/>
      <c r="O263" s="75"/>
      <c r="P263" s="75"/>
      <c r="Q263" s="83"/>
      <c r="R263" s="83"/>
      <c r="S263" s="10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62"/>
      <c r="B264" s="62"/>
      <c r="C264" s="62"/>
      <c r="D264" s="62"/>
      <c r="E264" s="62"/>
      <c r="F264" s="62"/>
      <c r="G264" s="62"/>
      <c r="H264" s="63"/>
      <c r="I264" s="57"/>
      <c r="J264" s="75"/>
      <c r="K264" s="76"/>
      <c r="L264" s="80"/>
      <c r="M264" s="81"/>
      <c r="N264" s="82"/>
      <c r="O264" s="75"/>
      <c r="P264" s="75"/>
      <c r="Q264" s="83"/>
      <c r="R264" s="83"/>
      <c r="S264" s="10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62"/>
      <c r="B265" s="62"/>
      <c r="C265" s="62"/>
      <c r="D265" s="62"/>
      <c r="E265" s="62"/>
      <c r="F265" s="62"/>
      <c r="G265" s="62"/>
      <c r="H265" s="63"/>
      <c r="I265" s="57"/>
      <c r="J265" s="75"/>
      <c r="K265" s="76"/>
      <c r="L265" s="80"/>
      <c r="M265" s="81"/>
      <c r="N265" s="82"/>
      <c r="O265" s="75"/>
      <c r="P265" s="75"/>
      <c r="Q265" s="83"/>
      <c r="R265" s="83"/>
      <c r="S265" s="10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62"/>
      <c r="B266" s="62"/>
      <c r="C266" s="62"/>
      <c r="D266" s="62"/>
      <c r="E266" s="62"/>
      <c r="F266" s="62"/>
      <c r="G266" s="62"/>
      <c r="H266" s="63"/>
      <c r="I266" s="57"/>
      <c r="J266" s="75"/>
      <c r="K266" s="76"/>
      <c r="L266" s="80"/>
      <c r="M266" s="81"/>
      <c r="N266" s="82"/>
      <c r="O266" s="75"/>
      <c r="P266" s="75"/>
      <c r="Q266" s="83"/>
      <c r="R266" s="83"/>
      <c r="S266" s="10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62"/>
      <c r="B267" s="62"/>
      <c r="C267" s="62"/>
      <c r="D267" s="62"/>
      <c r="E267" s="62"/>
      <c r="F267" s="62"/>
      <c r="G267" s="62"/>
      <c r="H267" s="63"/>
      <c r="I267" s="57"/>
      <c r="J267" s="75"/>
      <c r="K267" s="76"/>
      <c r="L267" s="80"/>
      <c r="M267" s="81"/>
      <c r="N267" s="82"/>
      <c r="O267" s="75"/>
      <c r="P267" s="75"/>
      <c r="Q267" s="83"/>
      <c r="R267" s="83"/>
      <c r="S267" s="10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62"/>
      <c r="B268" s="62"/>
      <c r="C268" s="62"/>
      <c r="D268" s="62"/>
      <c r="E268" s="62"/>
      <c r="F268" s="62"/>
      <c r="G268" s="62"/>
      <c r="H268" s="63"/>
      <c r="I268" s="57"/>
      <c r="J268" s="75"/>
      <c r="K268" s="76"/>
      <c r="L268" s="80"/>
      <c r="M268" s="81"/>
      <c r="N268" s="82"/>
      <c r="O268" s="75"/>
      <c r="P268" s="75"/>
      <c r="Q268" s="83"/>
      <c r="R268" s="83"/>
      <c r="S268" s="10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63"/>
      <c r="I269" s="57"/>
      <c r="J269" s="79"/>
      <c r="K269" s="76"/>
      <c r="L269" s="80"/>
      <c r="M269" s="81"/>
      <c r="N269" s="82"/>
      <c r="O269" s="75"/>
      <c r="P269" s="75"/>
      <c r="Q269" s="83"/>
      <c r="R269" s="83"/>
      <c r="S269" s="79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63"/>
      <c r="I270" s="57"/>
      <c r="J270" s="79"/>
      <c r="K270" s="79"/>
      <c r="L270" s="80"/>
      <c r="M270" s="81"/>
      <c r="N270" s="79"/>
      <c r="O270" s="75"/>
      <c r="P270" s="75"/>
      <c r="Q270" s="83"/>
      <c r="R270" s="83"/>
      <c r="S270" s="79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63"/>
      <c r="I271" s="57"/>
      <c r="J271" s="79"/>
      <c r="K271" s="79"/>
      <c r="L271" s="80"/>
      <c r="M271" s="81"/>
      <c r="N271" s="79"/>
      <c r="O271" s="79"/>
      <c r="P271" s="79"/>
      <c r="Q271" s="83"/>
      <c r="R271" s="83"/>
      <c r="S271" s="79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63"/>
      <c r="I272" s="57"/>
      <c r="J272" s="79"/>
      <c r="K272" s="79"/>
      <c r="L272" s="80"/>
      <c r="M272" s="81"/>
      <c r="N272" s="79"/>
      <c r="O272" s="79"/>
      <c r="P272" s="79"/>
      <c r="Q272" s="83"/>
      <c r="R272" s="83"/>
      <c r="S272" s="79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63"/>
      <c r="I273" s="57"/>
      <c r="J273" s="79"/>
      <c r="K273" s="79"/>
      <c r="L273" s="80"/>
      <c r="M273" s="81"/>
      <c r="N273" s="79"/>
      <c r="O273" s="79"/>
      <c r="P273" s="79"/>
      <c r="Q273" s="83"/>
      <c r="R273" s="83"/>
      <c r="S273" s="79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63"/>
      <c r="I274" s="57"/>
      <c r="J274" s="79"/>
      <c r="K274" s="79"/>
      <c r="L274" s="80"/>
      <c r="M274" s="81"/>
      <c r="N274" s="79"/>
      <c r="O274" s="79"/>
      <c r="P274" s="79"/>
      <c r="Q274" s="83"/>
      <c r="R274" s="83"/>
      <c r="S274" s="79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63"/>
      <c r="I275" s="57"/>
      <c r="J275" s="79"/>
      <c r="K275" s="79"/>
      <c r="L275" s="80"/>
      <c r="M275" s="81"/>
      <c r="N275" s="79"/>
      <c r="O275" s="79"/>
      <c r="P275" s="79"/>
      <c r="Q275" s="83"/>
      <c r="R275" s="83"/>
      <c r="S275" s="79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63"/>
      <c r="I276" s="57"/>
      <c r="J276" s="79"/>
      <c r="K276" s="79"/>
      <c r="L276" s="80"/>
      <c r="M276" s="81"/>
      <c r="N276" s="79"/>
      <c r="O276" s="79"/>
      <c r="P276" s="79"/>
      <c r="Q276" s="83"/>
      <c r="R276" s="83"/>
      <c r="S276" s="79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63"/>
      <c r="I277" s="57"/>
      <c r="J277" s="79"/>
      <c r="K277" s="79"/>
      <c r="L277" s="80"/>
      <c r="M277" s="81"/>
      <c r="N277" s="79"/>
      <c r="O277" s="79"/>
      <c r="P277" s="79"/>
      <c r="Q277" s="83"/>
      <c r="R277" s="83"/>
      <c r="S277" s="79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63"/>
      <c r="I278" s="57"/>
      <c r="J278" s="79"/>
      <c r="K278" s="79"/>
      <c r="L278" s="80"/>
      <c r="M278" s="81"/>
      <c r="N278" s="79"/>
      <c r="O278" s="79"/>
      <c r="P278" s="79"/>
      <c r="Q278" s="83"/>
      <c r="R278" s="83"/>
      <c r="S278" s="79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63"/>
      <c r="I279" s="57"/>
      <c r="J279" s="79"/>
      <c r="K279" s="79"/>
      <c r="L279" s="80"/>
      <c r="M279" s="81"/>
      <c r="N279" s="79"/>
      <c r="O279" s="79"/>
      <c r="P279" s="79"/>
      <c r="Q279" s="83"/>
      <c r="R279" s="83"/>
      <c r="S279" s="79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63"/>
      <c r="I280" s="57"/>
      <c r="J280" s="79"/>
      <c r="K280" s="79"/>
      <c r="L280" s="80"/>
      <c r="M280" s="81"/>
      <c r="N280" s="79"/>
      <c r="O280" s="79"/>
      <c r="P280" s="79"/>
      <c r="Q280" s="83"/>
      <c r="R280" s="83"/>
      <c r="S280" s="79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63"/>
      <c r="I281" s="57"/>
      <c r="J281" s="79"/>
      <c r="K281" s="79"/>
      <c r="L281" s="80"/>
      <c r="M281" s="81"/>
      <c r="N281" s="79"/>
      <c r="O281" s="79"/>
      <c r="P281" s="79"/>
      <c r="Q281" s="83"/>
      <c r="R281" s="83"/>
      <c r="S281" s="79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63"/>
      <c r="I282" s="57"/>
      <c r="J282" s="79"/>
      <c r="K282" s="79"/>
      <c r="L282" s="80"/>
      <c r="M282" s="81"/>
      <c r="N282" s="79"/>
      <c r="O282" s="79"/>
      <c r="P282" s="79"/>
      <c r="Q282" s="83"/>
      <c r="R282" s="83"/>
      <c r="S282" s="79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63"/>
      <c r="I283" s="57"/>
      <c r="J283" s="79"/>
      <c r="K283" s="79"/>
      <c r="L283" s="80"/>
      <c r="M283" s="81"/>
      <c r="N283" s="79"/>
      <c r="O283" s="79"/>
      <c r="P283" s="79"/>
      <c r="Q283" s="83"/>
      <c r="R283" s="83"/>
      <c r="S283" s="79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63"/>
      <c r="I284" s="57"/>
      <c r="J284" s="79"/>
      <c r="K284" s="79"/>
      <c r="L284" s="80"/>
      <c r="M284" s="81"/>
      <c r="N284" s="79"/>
      <c r="O284" s="79"/>
      <c r="P284" s="79"/>
      <c r="Q284" s="83"/>
      <c r="R284" s="83"/>
      <c r="S284" s="79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63"/>
      <c r="I285" s="57"/>
      <c r="J285" s="79"/>
      <c r="K285" s="79"/>
      <c r="L285" s="80"/>
      <c r="M285" s="81"/>
      <c r="N285" s="79"/>
      <c r="O285" s="79"/>
      <c r="P285" s="79"/>
      <c r="Q285" s="83"/>
      <c r="R285" s="83"/>
      <c r="S285" s="79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63"/>
      <c r="I286" s="57"/>
      <c r="J286" s="79"/>
      <c r="K286" s="79"/>
      <c r="L286" s="80"/>
      <c r="M286" s="81"/>
      <c r="N286" s="79"/>
      <c r="O286" s="79"/>
      <c r="P286" s="79"/>
      <c r="Q286" s="83"/>
      <c r="R286" s="83"/>
      <c r="S286" s="79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63"/>
      <c r="I287" s="57"/>
      <c r="J287" s="79"/>
      <c r="K287" s="79"/>
      <c r="L287" s="80"/>
      <c r="M287" s="81"/>
      <c r="N287" s="79"/>
      <c r="O287" s="79"/>
      <c r="P287" s="79"/>
      <c r="Q287" s="83"/>
      <c r="R287" s="83"/>
      <c r="S287" s="79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63"/>
      <c r="I288" s="57"/>
      <c r="J288" s="79"/>
      <c r="K288" s="79"/>
      <c r="L288" s="80"/>
      <c r="M288" s="81"/>
      <c r="N288" s="79"/>
      <c r="O288" s="79"/>
      <c r="P288" s="79"/>
      <c r="Q288" s="83"/>
      <c r="R288" s="83"/>
      <c r="S288" s="79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63"/>
      <c r="I289" s="57"/>
      <c r="J289" s="79"/>
      <c r="K289" s="79"/>
      <c r="L289" s="80"/>
      <c r="M289" s="81"/>
      <c r="N289" s="79"/>
      <c r="O289" s="79"/>
      <c r="P289" s="79"/>
      <c r="Q289" s="83"/>
      <c r="R289" s="83"/>
      <c r="S289" s="79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63"/>
      <c r="I290" s="57"/>
      <c r="J290" s="79"/>
      <c r="K290" s="79"/>
      <c r="L290" s="80"/>
      <c r="M290" s="81"/>
      <c r="N290" s="79"/>
      <c r="O290" s="79"/>
      <c r="P290" s="79"/>
      <c r="Q290" s="83"/>
      <c r="R290" s="83"/>
      <c r="S290" s="79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63"/>
      <c r="I291" s="57"/>
      <c r="J291" s="79"/>
      <c r="K291" s="79"/>
      <c r="L291" s="80"/>
      <c r="M291" s="81"/>
      <c r="N291" s="79"/>
      <c r="O291" s="79"/>
      <c r="P291" s="79"/>
      <c r="Q291" s="83"/>
      <c r="R291" s="83"/>
      <c r="S291" s="79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63"/>
      <c r="I292" s="57"/>
      <c r="J292" s="79"/>
      <c r="K292" s="79"/>
      <c r="L292" s="80"/>
      <c r="M292" s="81"/>
      <c r="N292" s="79"/>
      <c r="O292" s="79"/>
      <c r="P292" s="79"/>
      <c r="Q292" s="83"/>
      <c r="R292" s="83"/>
      <c r="S292" s="79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63"/>
      <c r="I293" s="57"/>
      <c r="J293" s="79"/>
      <c r="K293" s="79"/>
      <c r="L293" s="80"/>
      <c r="M293" s="81"/>
      <c r="N293" s="79"/>
      <c r="O293" s="79"/>
      <c r="P293" s="79"/>
      <c r="Q293" s="83"/>
      <c r="R293" s="83"/>
      <c r="S293" s="79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63"/>
      <c r="I294" s="57"/>
      <c r="J294" s="79"/>
      <c r="K294" s="79"/>
      <c r="L294" s="80"/>
      <c r="M294" s="81"/>
      <c r="N294" s="79"/>
      <c r="O294" s="79"/>
      <c r="P294" s="79"/>
      <c r="Q294" s="83"/>
      <c r="R294" s="83"/>
      <c r="S294" s="79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63"/>
      <c r="I295" s="57"/>
      <c r="J295" s="79"/>
      <c r="K295" s="79"/>
      <c r="L295" s="80"/>
      <c r="M295" s="81"/>
      <c r="N295" s="79"/>
      <c r="O295" s="79"/>
      <c r="P295" s="79"/>
      <c r="Q295" s="83"/>
      <c r="R295" s="83"/>
      <c r="S295" s="79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63"/>
      <c r="I296" s="57"/>
      <c r="J296" s="79"/>
      <c r="K296" s="79"/>
      <c r="L296" s="80"/>
      <c r="M296" s="81"/>
      <c r="N296" s="79"/>
      <c r="O296" s="79"/>
      <c r="P296" s="79"/>
      <c r="Q296" s="83"/>
      <c r="R296" s="83"/>
      <c r="S296" s="79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63"/>
      <c r="I297" s="57"/>
      <c r="J297" s="79"/>
      <c r="K297" s="79"/>
      <c r="L297" s="80"/>
      <c r="M297" s="81"/>
      <c r="N297" s="79"/>
      <c r="O297" s="79"/>
      <c r="P297" s="79"/>
      <c r="Q297" s="83"/>
      <c r="R297" s="83"/>
      <c r="S297" s="79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63"/>
      <c r="I298" s="57"/>
      <c r="J298" s="79"/>
      <c r="K298" s="79"/>
      <c r="L298" s="80"/>
      <c r="M298" s="81"/>
      <c r="N298" s="79"/>
      <c r="O298" s="79"/>
      <c r="P298" s="79"/>
      <c r="Q298" s="83"/>
      <c r="R298" s="83"/>
      <c r="S298" s="79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63"/>
      <c r="I299" s="57"/>
      <c r="J299" s="79"/>
      <c r="K299" s="79"/>
      <c r="L299" s="80"/>
      <c r="M299" s="81"/>
      <c r="N299" s="79"/>
      <c r="O299" s="79"/>
      <c r="P299" s="79"/>
      <c r="Q299" s="83"/>
      <c r="R299" s="83"/>
      <c r="S299" s="79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63"/>
      <c r="I300" s="57"/>
      <c r="J300" s="79"/>
      <c r="K300" s="79"/>
      <c r="L300" s="80"/>
      <c r="M300" s="81"/>
      <c r="N300" s="79"/>
      <c r="O300" s="79"/>
      <c r="P300" s="79"/>
      <c r="Q300" s="83"/>
      <c r="R300" s="83"/>
      <c r="S300" s="79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63"/>
      <c r="I301" s="57"/>
      <c r="J301" s="79"/>
      <c r="K301" s="79"/>
      <c r="L301" s="80"/>
      <c r="M301" s="81"/>
      <c r="N301" s="79"/>
      <c r="O301" s="79"/>
      <c r="P301" s="79"/>
      <c r="Q301" s="83"/>
      <c r="R301" s="83"/>
      <c r="S301" s="79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63"/>
      <c r="I302" s="57"/>
      <c r="J302" s="79"/>
      <c r="K302" s="79"/>
      <c r="L302" s="80"/>
      <c r="M302" s="81"/>
      <c r="N302" s="79"/>
      <c r="O302" s="79"/>
      <c r="P302" s="79"/>
      <c r="Q302" s="83"/>
      <c r="R302" s="83"/>
      <c r="S302" s="79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63"/>
      <c r="I303" s="57"/>
      <c r="J303" s="79"/>
      <c r="K303" s="79"/>
      <c r="L303" s="80"/>
      <c r="M303" s="81"/>
      <c r="N303" s="79"/>
      <c r="O303" s="79"/>
      <c r="P303" s="79"/>
      <c r="Q303" s="83"/>
      <c r="R303" s="83"/>
      <c r="S303" s="79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63"/>
      <c r="I304" s="57"/>
      <c r="J304" s="79"/>
      <c r="K304" s="79"/>
      <c r="L304" s="80"/>
      <c r="M304" s="81"/>
      <c r="N304" s="79"/>
      <c r="O304" s="79"/>
      <c r="P304" s="79"/>
      <c r="Q304" s="83"/>
      <c r="R304" s="83"/>
      <c r="S304" s="79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63"/>
      <c r="I305" s="57"/>
      <c r="J305" s="79"/>
      <c r="K305" s="79"/>
      <c r="L305" s="80"/>
      <c r="M305" s="81"/>
      <c r="N305" s="79"/>
      <c r="O305" s="79"/>
      <c r="P305" s="79"/>
      <c r="Q305" s="83"/>
      <c r="R305" s="83"/>
      <c r="S305" s="79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63"/>
      <c r="I306" s="57"/>
      <c r="J306" s="79"/>
      <c r="K306" s="79"/>
      <c r="L306" s="80"/>
      <c r="M306" s="81"/>
      <c r="N306" s="79"/>
      <c r="O306" s="79"/>
      <c r="P306" s="79"/>
      <c r="Q306" s="83"/>
      <c r="R306" s="83"/>
      <c r="S306" s="79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63"/>
      <c r="I307" s="57"/>
      <c r="J307" s="79"/>
      <c r="K307" s="79"/>
      <c r="L307" s="80"/>
      <c r="M307" s="81"/>
      <c r="N307" s="79"/>
      <c r="O307" s="79"/>
      <c r="P307" s="79"/>
      <c r="Q307" s="83"/>
      <c r="R307" s="83"/>
      <c r="S307" s="79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63"/>
      <c r="I308" s="57"/>
      <c r="J308" s="79"/>
      <c r="K308" s="79"/>
      <c r="L308" s="80"/>
      <c r="M308" s="81"/>
      <c r="N308" s="79"/>
      <c r="O308" s="79"/>
      <c r="P308" s="79"/>
      <c r="Q308" s="83"/>
      <c r="R308" s="83"/>
      <c r="S308" s="79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63"/>
      <c r="I309" s="57"/>
      <c r="J309" s="79"/>
      <c r="K309" s="79"/>
      <c r="L309" s="80"/>
      <c r="M309" s="81"/>
      <c r="N309" s="79"/>
      <c r="O309" s="79"/>
      <c r="P309" s="79"/>
      <c r="Q309" s="83"/>
      <c r="R309" s="83"/>
      <c r="S309" s="79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63"/>
      <c r="I310" s="57"/>
      <c r="J310" s="79"/>
      <c r="K310" s="79"/>
      <c r="L310" s="80"/>
      <c r="M310" s="81"/>
      <c r="N310" s="79"/>
      <c r="O310" s="79"/>
      <c r="P310" s="79"/>
      <c r="Q310" s="83"/>
      <c r="R310" s="83"/>
      <c r="S310" s="79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63"/>
      <c r="I311" s="57"/>
      <c r="J311" s="79"/>
      <c r="K311" s="79"/>
      <c r="L311" s="80"/>
      <c r="M311" s="81"/>
      <c r="N311" s="79"/>
      <c r="O311" s="79"/>
      <c r="P311" s="79"/>
      <c r="Q311" s="83"/>
      <c r="R311" s="83"/>
      <c r="S311" s="79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63"/>
      <c r="I312" s="57"/>
      <c r="J312" s="79"/>
      <c r="K312" s="79"/>
      <c r="L312" s="80"/>
      <c r="M312" s="81"/>
      <c r="N312" s="79"/>
      <c r="O312" s="79"/>
      <c r="P312" s="79"/>
      <c r="Q312" s="83"/>
      <c r="R312" s="83"/>
      <c r="S312" s="79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63"/>
      <c r="I313" s="57"/>
      <c r="J313" s="79"/>
      <c r="K313" s="79"/>
      <c r="L313" s="80"/>
      <c r="M313" s="81"/>
      <c r="N313" s="79"/>
      <c r="O313" s="79"/>
      <c r="P313" s="79"/>
      <c r="Q313" s="83"/>
      <c r="R313" s="83"/>
      <c r="S313" s="79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63"/>
      <c r="I314" s="57"/>
      <c r="J314" s="79"/>
      <c r="K314" s="79"/>
      <c r="L314" s="80"/>
      <c r="M314" s="81"/>
      <c r="N314" s="79"/>
      <c r="O314" s="79"/>
      <c r="P314" s="79"/>
      <c r="Q314" s="83"/>
      <c r="R314" s="83"/>
      <c r="S314" s="79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63"/>
      <c r="I315" s="57"/>
      <c r="J315" s="79"/>
      <c r="K315" s="79"/>
      <c r="L315" s="80"/>
      <c r="M315" s="81"/>
      <c r="N315" s="79"/>
      <c r="O315" s="79"/>
      <c r="P315" s="79"/>
      <c r="Q315" s="83"/>
      <c r="R315" s="83"/>
      <c r="S315" s="79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63"/>
      <c r="I316" s="57"/>
      <c r="J316" s="79"/>
      <c r="K316" s="79"/>
      <c r="L316" s="80"/>
      <c r="M316" s="81"/>
      <c r="N316" s="79"/>
      <c r="O316" s="79"/>
      <c r="P316" s="79"/>
      <c r="Q316" s="83"/>
      <c r="R316" s="83"/>
      <c r="S316" s="79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63"/>
      <c r="I317" s="57"/>
      <c r="J317" s="79"/>
      <c r="K317" s="79"/>
      <c r="L317" s="80"/>
      <c r="M317" s="81"/>
      <c r="N317" s="79"/>
      <c r="O317" s="79"/>
      <c r="P317" s="79"/>
      <c r="Q317" s="83"/>
      <c r="R317" s="83"/>
      <c r="S317" s="79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63"/>
      <c r="I318" s="57"/>
      <c r="J318" s="79"/>
      <c r="K318" s="79"/>
      <c r="L318" s="80"/>
      <c r="M318" s="81"/>
      <c r="N318" s="79"/>
      <c r="O318" s="79"/>
      <c r="P318" s="79"/>
      <c r="Q318" s="83"/>
      <c r="R318" s="83"/>
      <c r="S318" s="79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63"/>
      <c r="I319" s="57"/>
      <c r="J319" s="79"/>
      <c r="K319" s="79"/>
      <c r="L319" s="79"/>
      <c r="M319" s="81"/>
      <c r="N319" s="79"/>
      <c r="O319" s="79"/>
      <c r="P319" s="79"/>
      <c r="Q319" s="83"/>
      <c r="R319" s="83"/>
      <c r="S319" s="79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63"/>
      <c r="I320" s="57"/>
      <c r="J320" s="79"/>
      <c r="K320" s="79"/>
      <c r="L320" s="79"/>
      <c r="M320" s="81"/>
      <c r="N320" s="79"/>
      <c r="O320" s="79"/>
      <c r="P320" s="79"/>
      <c r="Q320" s="83"/>
      <c r="R320" s="83"/>
      <c r="S320" s="79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63"/>
      <c r="I321" s="57"/>
      <c r="J321" s="79"/>
      <c r="K321" s="79"/>
      <c r="L321" s="79"/>
      <c r="M321" s="81"/>
      <c r="N321" s="79"/>
      <c r="O321" s="79"/>
      <c r="P321" s="79"/>
      <c r="Q321" s="83"/>
      <c r="R321" s="83"/>
      <c r="S321" s="79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63"/>
      <c r="I322" s="57"/>
      <c r="J322" s="79"/>
      <c r="K322" s="79"/>
      <c r="L322" s="79"/>
      <c r="M322" s="81"/>
      <c r="N322" s="79"/>
      <c r="O322" s="79"/>
      <c r="P322" s="79"/>
      <c r="Q322" s="83"/>
      <c r="R322" s="83"/>
      <c r="S322" s="79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63"/>
      <c r="I323" s="57"/>
      <c r="J323" s="79"/>
      <c r="K323" s="79"/>
      <c r="L323" s="79"/>
      <c r="M323" s="81"/>
      <c r="N323" s="79"/>
      <c r="O323" s="79"/>
      <c r="P323" s="79"/>
      <c r="Q323" s="83"/>
      <c r="R323" s="83"/>
      <c r="S323" s="79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63"/>
      <c r="I324" s="57"/>
      <c r="J324" s="79"/>
      <c r="K324" s="79"/>
      <c r="L324" s="79"/>
      <c r="M324" s="81"/>
      <c r="N324" s="79"/>
      <c r="O324" s="79"/>
      <c r="P324" s="79"/>
      <c r="Q324" s="83"/>
      <c r="R324" s="83"/>
      <c r="S324" s="79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63"/>
      <c r="I325" s="57"/>
      <c r="J325" s="79"/>
      <c r="K325" s="79"/>
      <c r="L325" s="79"/>
      <c r="M325" s="81"/>
      <c r="N325" s="79"/>
      <c r="O325" s="79"/>
      <c r="P325" s="79"/>
      <c r="Q325" s="83"/>
      <c r="R325" s="83"/>
      <c r="S325" s="79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63"/>
      <c r="I326" s="57"/>
      <c r="J326" s="79"/>
      <c r="K326" s="79"/>
      <c r="L326" s="79"/>
      <c r="M326" s="81"/>
      <c r="N326" s="79"/>
      <c r="O326" s="79"/>
      <c r="P326" s="79"/>
      <c r="Q326" s="83"/>
      <c r="R326" s="83"/>
      <c r="S326" s="79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63"/>
      <c r="I327" s="57"/>
      <c r="J327" s="79"/>
      <c r="K327" s="79"/>
      <c r="L327" s="79"/>
      <c r="M327" s="81"/>
      <c r="N327" s="79"/>
      <c r="O327" s="79"/>
      <c r="P327" s="79"/>
      <c r="Q327" s="83"/>
      <c r="R327" s="83"/>
      <c r="S327" s="79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63"/>
      <c r="I328" s="57"/>
      <c r="J328" s="79"/>
      <c r="K328" s="79"/>
      <c r="L328" s="79"/>
      <c r="M328" s="81"/>
      <c r="N328" s="79"/>
      <c r="O328" s="79"/>
      <c r="P328" s="79"/>
      <c r="Q328" s="83"/>
      <c r="R328" s="83"/>
      <c r="S328" s="79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63"/>
      <c r="I329" s="57"/>
      <c r="J329" s="79"/>
      <c r="K329" s="79"/>
      <c r="L329" s="79"/>
      <c r="M329" s="81"/>
      <c r="N329" s="79"/>
      <c r="O329" s="79"/>
      <c r="P329" s="79"/>
      <c r="Q329" s="83"/>
      <c r="R329" s="83"/>
      <c r="S329" s="79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84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84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84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84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84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84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84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84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84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84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84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84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84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84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84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84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84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84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84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84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84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84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84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84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84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84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84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84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84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84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84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84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84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84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84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84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84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84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84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84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84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84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84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84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84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84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84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84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84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84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84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84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84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84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84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84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84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84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84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84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84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84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84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84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84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84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84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84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84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84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84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84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84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84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84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84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84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84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84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84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84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84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84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84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84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84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84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84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84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84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84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84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84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84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84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84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84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84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84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84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84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84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84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84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84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84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84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84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84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84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84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84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84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84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84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84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84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84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84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84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84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84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84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84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84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84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84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84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84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84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84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84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84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84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84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84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84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84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84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84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84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84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84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84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84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84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84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84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84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84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84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84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84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84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84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84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84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84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84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84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84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84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84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84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84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84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84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84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84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84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84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84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84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84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84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84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84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84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84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84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84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84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84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84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84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84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84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84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84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84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84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84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84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84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84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84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84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84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84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84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84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84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84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84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84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84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84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84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84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84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84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84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84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84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84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84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84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84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84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84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84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84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84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84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84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84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84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84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84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84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84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84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84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84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84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84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84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84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84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84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84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84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84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84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84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84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84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84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84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84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84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84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84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84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84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84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84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84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84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84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84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84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84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84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84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84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84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84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84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84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84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84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84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84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84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84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84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84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84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84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47"/>
      <c r="B610" s="47"/>
      <c r="C610" s="47"/>
      <c r="D610" s="47"/>
      <c r="E610" s="47"/>
      <c r="F610" s="47"/>
      <c r="G610" s="47"/>
      <c r="H610" s="84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47"/>
      <c r="B611" s="47"/>
      <c r="C611" s="47"/>
      <c r="D611" s="47"/>
      <c r="E611" s="47"/>
      <c r="F611" s="47"/>
      <c r="G611" s="47"/>
      <c r="H611" s="84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47"/>
      <c r="B612" s="47"/>
      <c r="C612" s="47"/>
      <c r="D612" s="47"/>
      <c r="E612" s="47"/>
      <c r="F612" s="47"/>
      <c r="G612" s="47"/>
      <c r="H612" s="84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47"/>
      <c r="B613" s="47"/>
      <c r="C613" s="47"/>
      <c r="D613" s="47"/>
      <c r="E613" s="47"/>
      <c r="F613" s="47"/>
      <c r="G613" s="47"/>
      <c r="H613" s="84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47"/>
      <c r="B614" s="47"/>
      <c r="C614" s="47"/>
      <c r="D614" s="47"/>
      <c r="E614" s="47"/>
      <c r="F614" s="47"/>
      <c r="G614" s="47"/>
      <c r="H614" s="84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47"/>
      <c r="B615" s="47"/>
      <c r="C615" s="47"/>
      <c r="D615" s="47"/>
      <c r="E615" s="47"/>
      <c r="F615" s="47"/>
      <c r="G615" s="47"/>
      <c r="H615" s="84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47"/>
      <c r="B616" s="47"/>
      <c r="C616" s="47"/>
      <c r="D616" s="47"/>
      <c r="E616" s="47"/>
      <c r="F616" s="47"/>
      <c r="G616" s="47"/>
      <c r="H616" s="84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47"/>
      <c r="B617" s="47"/>
      <c r="C617" s="47"/>
      <c r="D617" s="47"/>
      <c r="E617" s="47"/>
      <c r="F617" s="47"/>
      <c r="G617" s="47"/>
      <c r="H617" s="84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47"/>
      <c r="B618" s="47"/>
      <c r="C618" s="47"/>
      <c r="D618" s="47"/>
      <c r="E618" s="47"/>
      <c r="F618" s="47"/>
      <c r="G618" s="47"/>
      <c r="H618" s="84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47"/>
      <c r="B619" s="47"/>
      <c r="C619" s="47"/>
      <c r="D619" s="47"/>
      <c r="E619" s="47"/>
      <c r="F619" s="47"/>
      <c r="G619" s="47"/>
      <c r="H619" s="84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47"/>
      <c r="B620" s="47"/>
      <c r="C620" s="47"/>
      <c r="D620" s="47"/>
      <c r="E620" s="47"/>
      <c r="F620" s="47"/>
      <c r="G620" s="47"/>
      <c r="H620" s="84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47"/>
      <c r="B621" s="47"/>
      <c r="C621" s="47"/>
      <c r="D621" s="47"/>
      <c r="E621" s="47"/>
      <c r="F621" s="47"/>
      <c r="G621" s="47"/>
      <c r="H621" s="84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47"/>
      <c r="B622" s="47"/>
      <c r="C622" s="47"/>
      <c r="D622" s="47"/>
      <c r="E622" s="47"/>
      <c r="F622" s="47"/>
      <c r="G622" s="47"/>
      <c r="H622" s="84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47"/>
      <c r="B623" s="47"/>
      <c r="C623" s="47"/>
      <c r="D623" s="47"/>
      <c r="E623" s="47"/>
      <c r="F623" s="47"/>
      <c r="G623" s="47"/>
      <c r="H623" s="84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47"/>
      <c r="B624" s="47"/>
      <c r="C624" s="47"/>
      <c r="D624" s="47"/>
      <c r="E624" s="47"/>
      <c r="F624" s="47"/>
      <c r="G624" s="47"/>
      <c r="H624" s="84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47"/>
      <c r="B625" s="47"/>
      <c r="C625" s="47"/>
      <c r="D625" s="47"/>
      <c r="E625" s="47"/>
      <c r="F625" s="47"/>
      <c r="G625" s="47"/>
      <c r="H625" s="84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47"/>
      <c r="B626" s="47"/>
      <c r="C626" s="47"/>
      <c r="D626" s="47"/>
      <c r="E626" s="47"/>
      <c r="F626" s="47"/>
      <c r="G626" s="47"/>
      <c r="H626" s="84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47"/>
      <c r="B627" s="47"/>
      <c r="C627" s="47"/>
      <c r="D627" s="47"/>
      <c r="E627" s="47"/>
      <c r="F627" s="47"/>
      <c r="G627" s="47"/>
      <c r="H627" s="84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47"/>
      <c r="B628" s="47"/>
      <c r="C628" s="47"/>
      <c r="D628" s="47"/>
      <c r="E628" s="47"/>
      <c r="F628" s="47"/>
      <c r="G628" s="47"/>
      <c r="H628" s="84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47"/>
      <c r="B629" s="47"/>
      <c r="C629" s="47"/>
      <c r="D629" s="47"/>
      <c r="E629" s="47"/>
      <c r="F629" s="47"/>
      <c r="G629" s="47"/>
      <c r="H629" s="84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47"/>
      <c r="B630" s="47"/>
      <c r="C630" s="47"/>
      <c r="D630" s="47"/>
      <c r="E630" s="47"/>
      <c r="F630" s="47"/>
      <c r="G630" s="47"/>
      <c r="H630" s="84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47"/>
      <c r="B631" s="47"/>
      <c r="C631" s="47"/>
      <c r="D631" s="47"/>
      <c r="E631" s="47"/>
      <c r="F631" s="47"/>
      <c r="G631" s="47"/>
      <c r="H631" s="84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47"/>
      <c r="B632" s="47"/>
      <c r="C632" s="47"/>
      <c r="D632" s="47"/>
      <c r="E632" s="47"/>
      <c r="F632" s="47"/>
      <c r="G632" s="47"/>
      <c r="H632" s="84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47"/>
      <c r="B633" s="47"/>
      <c r="C633" s="47"/>
      <c r="D633" s="47"/>
      <c r="E633" s="47"/>
      <c r="F633" s="47"/>
      <c r="G633" s="47"/>
      <c r="H633" s="84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47"/>
      <c r="B634" s="47"/>
      <c r="C634" s="47"/>
      <c r="D634" s="47"/>
      <c r="E634" s="47"/>
      <c r="F634" s="47"/>
      <c r="G634" s="47"/>
      <c r="H634" s="84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47"/>
      <c r="B635" s="47"/>
      <c r="C635" s="47"/>
      <c r="D635" s="47"/>
      <c r="E635" s="47"/>
      <c r="F635" s="47"/>
      <c r="G635" s="47"/>
      <c r="H635" s="84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47"/>
      <c r="B636" s="47"/>
      <c r="C636" s="47"/>
      <c r="D636" s="47"/>
      <c r="E636" s="47"/>
      <c r="F636" s="47"/>
      <c r="G636" s="47"/>
      <c r="H636" s="84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47"/>
      <c r="B637" s="47"/>
      <c r="C637" s="47"/>
      <c r="D637" s="47"/>
      <c r="E637" s="47"/>
      <c r="F637" s="47"/>
      <c r="G637" s="47"/>
      <c r="H637" s="84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47"/>
      <c r="B638" s="47"/>
      <c r="C638" s="47"/>
      <c r="D638" s="47"/>
      <c r="E638" s="47"/>
      <c r="F638" s="47"/>
      <c r="G638" s="47"/>
      <c r="H638" s="84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47"/>
      <c r="B639" s="47"/>
      <c r="C639" s="47"/>
      <c r="D639" s="47"/>
      <c r="E639" s="47"/>
      <c r="F639" s="47"/>
      <c r="G639" s="47"/>
      <c r="H639" s="84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47"/>
      <c r="B640" s="47"/>
      <c r="C640" s="47"/>
      <c r="D640" s="47"/>
      <c r="E640" s="47"/>
      <c r="F640" s="47"/>
      <c r="G640" s="47"/>
      <c r="H640" s="84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47"/>
      <c r="B641" s="47"/>
      <c r="C641" s="47"/>
      <c r="D641" s="47"/>
      <c r="E641" s="47"/>
      <c r="F641" s="47"/>
      <c r="G641" s="47"/>
      <c r="H641" s="84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47"/>
      <c r="B642" s="47"/>
      <c r="C642" s="47"/>
      <c r="D642" s="47"/>
      <c r="E642" s="47"/>
      <c r="F642" s="47"/>
      <c r="G642" s="47"/>
      <c r="H642" s="84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47"/>
      <c r="B643" s="47"/>
      <c r="C643" s="47"/>
      <c r="D643" s="47"/>
      <c r="E643" s="47"/>
      <c r="F643" s="47"/>
      <c r="G643" s="47"/>
      <c r="H643" s="84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47"/>
      <c r="B644" s="47"/>
      <c r="C644" s="47"/>
      <c r="D644" s="47"/>
      <c r="E644" s="47"/>
      <c r="F644" s="47"/>
      <c r="G644" s="47"/>
      <c r="H644" s="84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47"/>
      <c r="B645" s="47"/>
      <c r="C645" s="47"/>
      <c r="D645" s="47"/>
      <c r="E645" s="47"/>
      <c r="F645" s="47"/>
      <c r="G645" s="47"/>
      <c r="H645" s="84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47"/>
      <c r="B646" s="47"/>
      <c r="C646" s="47"/>
      <c r="D646" s="47"/>
      <c r="E646" s="47"/>
      <c r="F646" s="47"/>
      <c r="G646" s="47"/>
      <c r="H646" s="84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47"/>
      <c r="B647" s="47"/>
      <c r="C647" s="47"/>
      <c r="D647" s="47"/>
      <c r="E647" s="47"/>
      <c r="F647" s="47"/>
      <c r="G647" s="47"/>
      <c r="H647" s="84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47"/>
      <c r="B648" s="47"/>
      <c r="C648" s="47"/>
      <c r="D648" s="47"/>
      <c r="E648" s="47"/>
      <c r="F648" s="47"/>
      <c r="G648" s="47"/>
      <c r="H648" s="84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47"/>
      <c r="B649" s="47"/>
      <c r="C649" s="47"/>
      <c r="D649" s="47"/>
      <c r="E649" s="47"/>
      <c r="F649" s="47"/>
      <c r="G649" s="47"/>
      <c r="H649" s="84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47"/>
      <c r="B650" s="47"/>
      <c r="C650" s="47"/>
      <c r="D650" s="47"/>
      <c r="E650" s="47"/>
      <c r="F650" s="47"/>
      <c r="G650" s="47"/>
      <c r="H650" s="84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47"/>
      <c r="B651" s="47"/>
      <c r="C651" s="47"/>
      <c r="D651" s="47"/>
      <c r="E651" s="47"/>
      <c r="F651" s="47"/>
      <c r="G651" s="47"/>
      <c r="H651" s="84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47"/>
      <c r="B652" s="47"/>
      <c r="C652" s="47"/>
      <c r="D652" s="47"/>
      <c r="E652" s="47"/>
      <c r="F652" s="47"/>
      <c r="G652" s="47"/>
      <c r="H652" s="84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47"/>
      <c r="B653" s="47"/>
      <c r="C653" s="47"/>
      <c r="D653" s="47"/>
      <c r="E653" s="47"/>
      <c r="F653" s="47"/>
      <c r="G653" s="47"/>
      <c r="H653" s="84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47"/>
      <c r="B654" s="47"/>
      <c r="C654" s="47"/>
      <c r="D654" s="47"/>
      <c r="E654" s="47"/>
      <c r="F654" s="47"/>
      <c r="G654" s="47"/>
      <c r="H654" s="84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47"/>
      <c r="U654" s="47"/>
      <c r="V654" s="47"/>
      <c r="W654" s="47"/>
      <c r="X654" s="47"/>
      <c r="Y654" s="47"/>
      <c r="Z654" s="47"/>
    </row>
    <row r="655" spans="1:26" ht="12.75" customHeight="1">
      <c r="A655" s="47"/>
      <c r="B655" s="47"/>
      <c r="C655" s="47"/>
      <c r="D655" s="47"/>
      <c r="E655" s="47"/>
      <c r="F655" s="47"/>
      <c r="G655" s="47"/>
      <c r="H655" s="84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47"/>
      <c r="U655" s="47"/>
      <c r="V655" s="47"/>
      <c r="W655" s="47"/>
      <c r="X655" s="47"/>
      <c r="Y655" s="47"/>
      <c r="Z655" s="47"/>
    </row>
    <row r="656" spans="1:26" ht="12.75" customHeight="1">
      <c r="A656" s="47"/>
      <c r="B656" s="47"/>
      <c r="C656" s="47"/>
      <c r="D656" s="47"/>
      <c r="E656" s="47"/>
      <c r="F656" s="47"/>
      <c r="G656" s="47"/>
      <c r="H656" s="84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47"/>
      <c r="B657" s="47"/>
      <c r="C657" s="47"/>
      <c r="D657" s="47"/>
      <c r="E657" s="47"/>
      <c r="F657" s="47"/>
      <c r="G657" s="47"/>
      <c r="H657" s="84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47"/>
      <c r="B658" s="47"/>
      <c r="C658" s="47"/>
      <c r="D658" s="47"/>
      <c r="E658" s="47"/>
      <c r="F658" s="47"/>
      <c r="G658" s="47"/>
      <c r="H658" s="84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47"/>
      <c r="U658" s="47"/>
      <c r="V658" s="47"/>
      <c r="W658" s="47"/>
      <c r="X658" s="47"/>
      <c r="Y658" s="47"/>
      <c r="Z658" s="47"/>
    </row>
    <row r="659" spans="1:26" ht="12.75" customHeight="1">
      <c r="A659" s="47"/>
      <c r="B659" s="47"/>
      <c r="C659" s="47"/>
      <c r="D659" s="47"/>
      <c r="E659" s="47"/>
      <c r="F659" s="47"/>
      <c r="G659" s="47"/>
      <c r="H659" s="84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47"/>
      <c r="U659" s="47"/>
      <c r="V659" s="47"/>
      <c r="W659" s="47"/>
      <c r="X659" s="47"/>
      <c r="Y659" s="47"/>
      <c r="Z659" s="47"/>
    </row>
    <row r="660" spans="1:26" ht="12.75" customHeight="1">
      <c r="A660" s="47"/>
      <c r="B660" s="47"/>
      <c r="C660" s="47"/>
      <c r="D660" s="47"/>
      <c r="E660" s="47"/>
      <c r="F660" s="47"/>
      <c r="G660" s="47"/>
      <c r="H660" s="84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47"/>
      <c r="U660" s="47"/>
      <c r="V660" s="47"/>
      <c r="W660" s="47"/>
      <c r="X660" s="47"/>
      <c r="Y660" s="47"/>
      <c r="Z660" s="47"/>
    </row>
    <row r="661" spans="1:26" ht="12.75" customHeight="1">
      <c r="A661" s="47"/>
      <c r="B661" s="47"/>
      <c r="C661" s="47"/>
      <c r="D661" s="47"/>
      <c r="E661" s="47"/>
      <c r="F661" s="47"/>
      <c r="G661" s="47"/>
      <c r="H661" s="84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47"/>
      <c r="U661" s="47"/>
      <c r="V661" s="47"/>
      <c r="W661" s="47"/>
      <c r="X661" s="47"/>
      <c r="Y661" s="47"/>
      <c r="Z661" s="47"/>
    </row>
    <row r="662" spans="1:26" ht="12.75" customHeight="1">
      <c r="A662" s="47"/>
      <c r="B662" s="47"/>
      <c r="C662" s="47"/>
      <c r="D662" s="47"/>
      <c r="E662" s="47"/>
      <c r="F662" s="47"/>
      <c r="G662" s="47"/>
      <c r="H662" s="84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47"/>
      <c r="U662" s="47"/>
      <c r="V662" s="47"/>
      <c r="W662" s="47"/>
      <c r="X662" s="47"/>
      <c r="Y662" s="47"/>
      <c r="Z662" s="47"/>
    </row>
    <row r="663" spans="1:26" ht="12.75" customHeight="1">
      <c r="A663" s="47"/>
      <c r="B663" s="47"/>
      <c r="C663" s="47"/>
      <c r="D663" s="47"/>
      <c r="E663" s="47"/>
      <c r="F663" s="47"/>
      <c r="G663" s="47"/>
      <c r="H663" s="84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47"/>
      <c r="U663" s="47"/>
      <c r="V663" s="47"/>
      <c r="W663" s="47"/>
      <c r="X663" s="47"/>
      <c r="Y663" s="47"/>
      <c r="Z663" s="47"/>
    </row>
    <row r="664" spans="1:26" ht="12.75" customHeight="1">
      <c r="A664" s="47"/>
      <c r="B664" s="47"/>
      <c r="C664" s="47"/>
      <c r="D664" s="47"/>
      <c r="E664" s="47"/>
      <c r="F664" s="47"/>
      <c r="G664" s="47"/>
      <c r="H664" s="84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47"/>
      <c r="U664" s="47"/>
      <c r="V664" s="47"/>
      <c r="W664" s="47"/>
      <c r="X664" s="47"/>
      <c r="Y664" s="47"/>
      <c r="Z664" s="47"/>
    </row>
    <row r="665" spans="1:26" ht="12.75" customHeight="1">
      <c r="A665" s="47"/>
      <c r="B665" s="47"/>
      <c r="C665" s="47"/>
      <c r="D665" s="47"/>
      <c r="E665" s="47"/>
      <c r="F665" s="47"/>
      <c r="G665" s="47"/>
      <c r="H665" s="84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47"/>
      <c r="U665" s="47"/>
      <c r="V665" s="47"/>
      <c r="W665" s="47"/>
      <c r="X665" s="47"/>
      <c r="Y665" s="47"/>
      <c r="Z665" s="47"/>
    </row>
    <row r="666" spans="1:26" ht="12.75" customHeight="1">
      <c r="A666" s="47"/>
      <c r="B666" s="47"/>
      <c r="C666" s="47"/>
      <c r="D666" s="47"/>
      <c r="E666" s="47"/>
      <c r="F666" s="47"/>
      <c r="G666" s="47"/>
      <c r="H666" s="84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47"/>
      <c r="U666" s="47"/>
      <c r="V666" s="47"/>
      <c r="W666" s="47"/>
      <c r="X666" s="47"/>
      <c r="Y666" s="47"/>
      <c r="Z666" s="47"/>
    </row>
    <row r="667" spans="1:26" ht="12.75" customHeight="1">
      <c r="A667" s="47"/>
      <c r="B667" s="47"/>
      <c r="C667" s="47"/>
      <c r="D667" s="47"/>
      <c r="E667" s="47"/>
      <c r="F667" s="47"/>
      <c r="G667" s="47"/>
      <c r="H667" s="84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47"/>
      <c r="U667" s="47"/>
      <c r="V667" s="47"/>
      <c r="W667" s="47"/>
      <c r="X667" s="47"/>
      <c r="Y667" s="47"/>
      <c r="Z667" s="47"/>
    </row>
    <row r="668" spans="1:26" ht="12.75" customHeight="1">
      <c r="A668" s="47"/>
      <c r="B668" s="47"/>
      <c r="C668" s="47"/>
      <c r="D668" s="47"/>
      <c r="E668" s="47"/>
      <c r="F668" s="47"/>
      <c r="G668" s="47"/>
      <c r="H668" s="84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47"/>
      <c r="U668" s="47"/>
      <c r="V668" s="47"/>
      <c r="W668" s="47"/>
      <c r="X668" s="47"/>
      <c r="Y668" s="47"/>
      <c r="Z668" s="47"/>
    </row>
    <row r="669" spans="1:26" ht="12.75" customHeight="1">
      <c r="A669" s="47"/>
      <c r="B669" s="47"/>
      <c r="C669" s="47"/>
      <c r="D669" s="47"/>
      <c r="E669" s="47"/>
      <c r="F669" s="47"/>
      <c r="G669" s="47"/>
      <c r="H669" s="84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47"/>
      <c r="U669" s="47"/>
      <c r="V669" s="47"/>
      <c r="W669" s="47"/>
      <c r="X669" s="47"/>
      <c r="Y669" s="47"/>
      <c r="Z669" s="47"/>
    </row>
    <row r="670" spans="1:26" ht="12.75" customHeight="1">
      <c r="A670" s="47"/>
      <c r="B670" s="47"/>
      <c r="C670" s="47"/>
      <c r="D670" s="47"/>
      <c r="E670" s="47"/>
      <c r="F670" s="47"/>
      <c r="G670" s="47"/>
      <c r="H670" s="84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47"/>
      <c r="U670" s="47"/>
      <c r="V670" s="47"/>
      <c r="W670" s="47"/>
      <c r="X670" s="47"/>
      <c r="Y670" s="47"/>
      <c r="Z670" s="47"/>
    </row>
    <row r="671" spans="1:26" ht="12.75" customHeight="1">
      <c r="A671" s="47"/>
      <c r="B671" s="47"/>
      <c r="C671" s="47"/>
      <c r="D671" s="47"/>
      <c r="E671" s="47"/>
      <c r="F671" s="47"/>
      <c r="G671" s="47"/>
      <c r="H671" s="84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47"/>
      <c r="U671" s="47"/>
      <c r="V671" s="47"/>
      <c r="W671" s="47"/>
      <c r="X671" s="47"/>
      <c r="Y671" s="47"/>
      <c r="Z671" s="47"/>
    </row>
    <row r="672" spans="1:26" ht="12.75" customHeight="1">
      <c r="A672" s="47"/>
      <c r="B672" s="47"/>
      <c r="C672" s="47"/>
      <c r="D672" s="47"/>
      <c r="E672" s="47"/>
      <c r="F672" s="47"/>
      <c r="G672" s="47"/>
      <c r="H672" s="84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47"/>
      <c r="U672" s="47"/>
      <c r="V672" s="47"/>
      <c r="W672" s="47"/>
      <c r="X672" s="47"/>
      <c r="Y672" s="47"/>
      <c r="Z672" s="47"/>
    </row>
    <row r="673" spans="1:26" ht="12.75" customHeight="1">
      <c r="A673" s="47"/>
      <c r="B673" s="47"/>
      <c r="C673" s="47"/>
      <c r="D673" s="47"/>
      <c r="E673" s="47"/>
      <c r="F673" s="47"/>
      <c r="G673" s="47"/>
      <c r="H673" s="84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47"/>
      <c r="U673" s="47"/>
      <c r="V673" s="47"/>
      <c r="W673" s="47"/>
      <c r="X673" s="47"/>
      <c r="Y673" s="47"/>
      <c r="Z673" s="47"/>
    </row>
    <row r="674" spans="1:26" ht="12.75" customHeight="1">
      <c r="A674" s="47"/>
      <c r="B674" s="47"/>
      <c r="C674" s="47"/>
      <c r="D674" s="47"/>
      <c r="E674" s="47"/>
      <c r="F674" s="47"/>
      <c r="G674" s="47"/>
      <c r="H674" s="84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47"/>
      <c r="U674" s="47"/>
      <c r="V674" s="47"/>
      <c r="W674" s="47"/>
      <c r="X674" s="47"/>
      <c r="Y674" s="47"/>
      <c r="Z674" s="47"/>
    </row>
    <row r="675" spans="1:26" ht="12.75" customHeight="1">
      <c r="A675" s="47"/>
      <c r="B675" s="47"/>
      <c r="C675" s="47"/>
      <c r="D675" s="47"/>
      <c r="E675" s="47"/>
      <c r="F675" s="47"/>
      <c r="G675" s="47"/>
      <c r="H675" s="84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47"/>
      <c r="U675" s="47"/>
      <c r="V675" s="47"/>
      <c r="W675" s="47"/>
      <c r="X675" s="47"/>
      <c r="Y675" s="47"/>
      <c r="Z675" s="47"/>
    </row>
    <row r="676" spans="1:26" ht="12.75" customHeight="1">
      <c r="A676" s="47"/>
      <c r="B676" s="47"/>
      <c r="C676" s="47"/>
      <c r="D676" s="47"/>
      <c r="E676" s="47"/>
      <c r="F676" s="47"/>
      <c r="G676" s="47"/>
      <c r="H676" s="84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47"/>
      <c r="U676" s="47"/>
      <c r="V676" s="47"/>
      <c r="W676" s="47"/>
      <c r="X676" s="47"/>
      <c r="Y676" s="47"/>
      <c r="Z676" s="47"/>
    </row>
    <row r="677" spans="1:26" ht="12.75" customHeight="1">
      <c r="A677" s="47"/>
      <c r="B677" s="47"/>
      <c r="C677" s="47"/>
      <c r="D677" s="47"/>
      <c r="E677" s="47"/>
      <c r="F677" s="47"/>
      <c r="G677" s="47"/>
      <c r="H677" s="84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47"/>
      <c r="U677" s="47"/>
      <c r="V677" s="47"/>
      <c r="W677" s="47"/>
      <c r="X677" s="47"/>
      <c r="Y677" s="47"/>
      <c r="Z677" s="47"/>
    </row>
    <row r="678" spans="1:26" ht="12.75" customHeight="1">
      <c r="A678" s="47"/>
      <c r="B678" s="47"/>
      <c r="C678" s="47"/>
      <c r="D678" s="47"/>
      <c r="E678" s="47"/>
      <c r="F678" s="47"/>
      <c r="G678" s="47"/>
      <c r="H678" s="84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47"/>
      <c r="U678" s="47"/>
      <c r="V678" s="47"/>
      <c r="W678" s="47"/>
      <c r="X678" s="47"/>
      <c r="Y678" s="47"/>
      <c r="Z678" s="47"/>
    </row>
    <row r="679" spans="1:26" ht="12.75" customHeight="1">
      <c r="A679" s="47"/>
      <c r="B679" s="47"/>
      <c r="C679" s="47"/>
      <c r="D679" s="47"/>
      <c r="E679" s="47"/>
      <c r="F679" s="47"/>
      <c r="G679" s="47"/>
      <c r="H679" s="84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47"/>
      <c r="U679" s="47"/>
      <c r="V679" s="47"/>
      <c r="W679" s="47"/>
      <c r="X679" s="47"/>
      <c r="Y679" s="47"/>
      <c r="Z679" s="47"/>
    </row>
    <row r="680" spans="1:26" ht="12.75" customHeight="1">
      <c r="A680" s="47"/>
      <c r="B680" s="47"/>
      <c r="C680" s="47"/>
      <c r="D680" s="47"/>
      <c r="E680" s="47"/>
      <c r="F680" s="47"/>
      <c r="G680" s="47"/>
      <c r="H680" s="84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47"/>
      <c r="U680" s="47"/>
      <c r="V680" s="47"/>
      <c r="W680" s="47"/>
      <c r="X680" s="47"/>
      <c r="Y680" s="47"/>
      <c r="Z680" s="47"/>
    </row>
    <row r="681" spans="1:26" ht="12.75" customHeight="1">
      <c r="A681" s="47"/>
      <c r="B681" s="47"/>
      <c r="C681" s="47"/>
      <c r="D681" s="47"/>
      <c r="E681" s="47"/>
      <c r="F681" s="47"/>
      <c r="G681" s="47"/>
      <c r="H681" s="84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47"/>
      <c r="U681" s="47"/>
      <c r="V681" s="47"/>
      <c r="W681" s="47"/>
      <c r="X681" s="47"/>
      <c r="Y681" s="47"/>
      <c r="Z681" s="47"/>
    </row>
    <row r="682" spans="1:26" ht="12.75" customHeight="1">
      <c r="A682" s="47"/>
      <c r="B682" s="47"/>
      <c r="C682" s="47"/>
      <c r="D682" s="47"/>
      <c r="E682" s="47"/>
      <c r="F682" s="47"/>
      <c r="G682" s="47"/>
      <c r="H682" s="84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47"/>
      <c r="U682" s="47"/>
      <c r="V682" s="47"/>
      <c r="W682" s="47"/>
      <c r="X682" s="47"/>
      <c r="Y682" s="47"/>
      <c r="Z682" s="47"/>
    </row>
    <row r="683" spans="1:26" ht="12.75" customHeight="1">
      <c r="A683" s="47"/>
      <c r="B683" s="47"/>
      <c r="C683" s="47"/>
      <c r="D683" s="47"/>
      <c r="E683" s="47"/>
      <c r="F683" s="47"/>
      <c r="G683" s="47"/>
      <c r="H683" s="84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47"/>
      <c r="U683" s="47"/>
      <c r="V683" s="47"/>
      <c r="W683" s="47"/>
      <c r="X683" s="47"/>
      <c r="Y683" s="47"/>
      <c r="Z683" s="47"/>
    </row>
    <row r="684" spans="1:26" ht="12.75" customHeight="1">
      <c r="A684" s="47"/>
      <c r="B684" s="47"/>
      <c r="C684" s="47"/>
      <c r="D684" s="47"/>
      <c r="E684" s="47"/>
      <c r="F684" s="47"/>
      <c r="G684" s="47"/>
      <c r="H684" s="84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47"/>
      <c r="U684" s="47"/>
      <c r="V684" s="47"/>
      <c r="W684" s="47"/>
      <c r="X684" s="47"/>
      <c r="Y684" s="47"/>
      <c r="Z684" s="47"/>
    </row>
    <row r="685" spans="1:26" ht="12.75" customHeight="1">
      <c r="A685" s="47"/>
      <c r="B685" s="47"/>
      <c r="C685" s="47"/>
      <c r="D685" s="47"/>
      <c r="E685" s="47"/>
      <c r="F685" s="47"/>
      <c r="G685" s="47"/>
      <c r="H685" s="84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47"/>
      <c r="U685" s="47"/>
      <c r="V685" s="47"/>
      <c r="W685" s="47"/>
      <c r="X685" s="47"/>
      <c r="Y685" s="47"/>
      <c r="Z685" s="47"/>
    </row>
    <row r="686" spans="1:26" ht="12.75" customHeight="1">
      <c r="A686" s="47"/>
      <c r="B686" s="47"/>
      <c r="C686" s="47"/>
      <c r="D686" s="47"/>
      <c r="E686" s="47"/>
      <c r="F686" s="47"/>
      <c r="G686" s="47"/>
      <c r="H686" s="84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47"/>
      <c r="U686" s="47"/>
      <c r="V686" s="47"/>
      <c r="W686" s="47"/>
      <c r="X686" s="47"/>
      <c r="Y686" s="47"/>
      <c r="Z686" s="47"/>
    </row>
    <row r="687" spans="1:26" ht="12.75" customHeight="1">
      <c r="A687" s="47"/>
      <c r="B687" s="47"/>
      <c r="C687" s="47"/>
      <c r="D687" s="47"/>
      <c r="E687" s="47"/>
      <c r="F687" s="47"/>
      <c r="G687" s="47"/>
      <c r="H687" s="84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47"/>
      <c r="U687" s="47"/>
      <c r="V687" s="47"/>
      <c r="W687" s="47"/>
      <c r="X687" s="47"/>
      <c r="Y687" s="47"/>
      <c r="Z687" s="47"/>
    </row>
    <row r="688" spans="1:26" ht="12.75" customHeight="1">
      <c r="A688" s="47"/>
      <c r="B688" s="47"/>
      <c r="C688" s="47"/>
      <c r="D688" s="47"/>
      <c r="E688" s="47"/>
      <c r="F688" s="47"/>
      <c r="G688" s="47"/>
      <c r="H688" s="84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47"/>
      <c r="U688" s="47"/>
      <c r="V688" s="47"/>
      <c r="W688" s="47"/>
      <c r="X688" s="47"/>
      <c r="Y688" s="47"/>
      <c r="Z688" s="47"/>
    </row>
    <row r="689" spans="1:26" ht="12.75" customHeight="1">
      <c r="A689" s="47"/>
      <c r="B689" s="47"/>
      <c r="C689" s="47"/>
      <c r="D689" s="47"/>
      <c r="E689" s="47"/>
      <c r="F689" s="47"/>
      <c r="G689" s="47"/>
      <c r="H689" s="84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47"/>
      <c r="U689" s="47"/>
      <c r="V689" s="47"/>
      <c r="W689" s="47"/>
      <c r="X689" s="47"/>
      <c r="Y689" s="47"/>
      <c r="Z689" s="47"/>
    </row>
    <row r="690" spans="1:26" ht="12.75" customHeight="1">
      <c r="A690" s="47"/>
      <c r="B690" s="47"/>
      <c r="C690" s="47"/>
      <c r="D690" s="47"/>
      <c r="E690" s="47"/>
      <c r="F690" s="47"/>
      <c r="G690" s="47"/>
      <c r="H690" s="84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47"/>
      <c r="U690" s="47"/>
      <c r="V690" s="47"/>
      <c r="W690" s="47"/>
      <c r="X690" s="47"/>
      <c r="Y690" s="47"/>
      <c r="Z690" s="47"/>
    </row>
    <row r="691" spans="1:26" ht="12.75" customHeight="1">
      <c r="A691" s="47"/>
      <c r="B691" s="47"/>
      <c r="C691" s="47"/>
      <c r="D691" s="47"/>
      <c r="E691" s="47"/>
      <c r="F691" s="47"/>
      <c r="G691" s="47"/>
      <c r="H691" s="84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47"/>
      <c r="U691" s="47"/>
      <c r="V691" s="47"/>
      <c r="W691" s="47"/>
      <c r="X691" s="47"/>
      <c r="Y691" s="47"/>
      <c r="Z691" s="47"/>
    </row>
    <row r="692" spans="1:26" ht="12.75" customHeight="1">
      <c r="A692" s="47"/>
      <c r="B692" s="47"/>
      <c r="C692" s="47"/>
      <c r="D692" s="47"/>
      <c r="E692" s="47"/>
      <c r="F692" s="47"/>
      <c r="G692" s="47"/>
      <c r="H692" s="84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47"/>
      <c r="U692" s="47"/>
      <c r="V692" s="47"/>
      <c r="W692" s="47"/>
      <c r="X692" s="47"/>
      <c r="Y692" s="47"/>
      <c r="Z692" s="47"/>
    </row>
    <row r="693" spans="1:26" ht="12.75" customHeight="1">
      <c r="A693" s="47"/>
      <c r="B693" s="47"/>
      <c r="C693" s="47"/>
      <c r="D693" s="47"/>
      <c r="E693" s="47"/>
      <c r="F693" s="47"/>
      <c r="G693" s="47"/>
      <c r="H693" s="84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47"/>
      <c r="U693" s="47"/>
      <c r="V693" s="47"/>
      <c r="W693" s="47"/>
      <c r="X693" s="47"/>
      <c r="Y693" s="47"/>
      <c r="Z693" s="47"/>
    </row>
    <row r="694" spans="1:26" ht="12.75" customHeight="1">
      <c r="A694" s="47"/>
      <c r="B694" s="47"/>
      <c r="C694" s="47"/>
      <c r="D694" s="47"/>
      <c r="E694" s="47"/>
      <c r="F694" s="47"/>
      <c r="G694" s="47"/>
      <c r="H694" s="84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47"/>
      <c r="U694" s="47"/>
      <c r="V694" s="47"/>
      <c r="W694" s="47"/>
      <c r="X694" s="47"/>
      <c r="Y694" s="47"/>
      <c r="Z694" s="47"/>
    </row>
    <row r="695" spans="1:26" ht="12.75" customHeight="1">
      <c r="A695" s="47"/>
      <c r="B695" s="47"/>
      <c r="C695" s="47"/>
      <c r="D695" s="47"/>
      <c r="E695" s="47"/>
      <c r="F695" s="47"/>
      <c r="G695" s="47"/>
      <c r="H695" s="84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47"/>
      <c r="U695" s="47"/>
      <c r="V695" s="47"/>
      <c r="W695" s="47"/>
      <c r="X695" s="47"/>
      <c r="Y695" s="47"/>
      <c r="Z695" s="47"/>
    </row>
    <row r="696" spans="1:26" ht="12.75" customHeight="1">
      <c r="A696" s="47"/>
      <c r="B696" s="47"/>
      <c r="C696" s="47"/>
      <c r="D696" s="47"/>
      <c r="E696" s="47"/>
      <c r="F696" s="47"/>
      <c r="G696" s="47"/>
      <c r="H696" s="84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47"/>
      <c r="U696" s="47"/>
      <c r="V696" s="47"/>
      <c r="W696" s="47"/>
      <c r="X696" s="47"/>
      <c r="Y696" s="47"/>
      <c r="Z696" s="47"/>
    </row>
    <row r="697" spans="1:26" ht="12.75" customHeight="1">
      <c r="A697" s="47"/>
      <c r="B697" s="47"/>
      <c r="C697" s="47"/>
      <c r="D697" s="47"/>
      <c r="E697" s="47"/>
      <c r="F697" s="47"/>
      <c r="G697" s="47"/>
      <c r="H697" s="84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47"/>
      <c r="U697" s="47"/>
      <c r="V697" s="47"/>
      <c r="W697" s="47"/>
      <c r="X697" s="47"/>
      <c r="Y697" s="47"/>
      <c r="Z697" s="47"/>
    </row>
    <row r="698" spans="1:26" ht="12.75" customHeight="1">
      <c r="A698" s="47"/>
      <c r="B698" s="47"/>
      <c r="C698" s="47"/>
      <c r="D698" s="47"/>
      <c r="E698" s="47"/>
      <c r="F698" s="47"/>
      <c r="G698" s="47"/>
      <c r="H698" s="84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47"/>
      <c r="U698" s="47"/>
      <c r="V698" s="47"/>
      <c r="W698" s="47"/>
      <c r="X698" s="47"/>
      <c r="Y698" s="47"/>
      <c r="Z698" s="47"/>
    </row>
    <row r="699" spans="1:26" ht="12.75" customHeight="1">
      <c r="A699" s="47"/>
      <c r="B699" s="47"/>
      <c r="C699" s="47"/>
      <c r="D699" s="47"/>
      <c r="E699" s="47"/>
      <c r="F699" s="47"/>
      <c r="G699" s="47"/>
      <c r="H699" s="84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47"/>
      <c r="U699" s="47"/>
      <c r="V699" s="47"/>
      <c r="W699" s="47"/>
      <c r="X699" s="47"/>
      <c r="Y699" s="47"/>
      <c r="Z699" s="47"/>
    </row>
    <row r="700" spans="1:26" ht="12.75" customHeight="1">
      <c r="A700" s="47"/>
      <c r="B700" s="47"/>
      <c r="C700" s="47"/>
      <c r="D700" s="47"/>
      <c r="E700" s="47"/>
      <c r="F700" s="47"/>
      <c r="G700" s="47"/>
      <c r="H700" s="84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47"/>
      <c r="U700" s="47"/>
      <c r="V700" s="47"/>
      <c r="W700" s="47"/>
      <c r="X700" s="47"/>
      <c r="Y700" s="47"/>
      <c r="Z700" s="47"/>
    </row>
    <row r="701" spans="1:26" ht="12.75" customHeight="1">
      <c r="A701" s="47"/>
      <c r="B701" s="47"/>
      <c r="C701" s="47"/>
      <c r="D701" s="47"/>
      <c r="E701" s="47"/>
      <c r="F701" s="47"/>
      <c r="G701" s="47"/>
      <c r="H701" s="84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47"/>
      <c r="U701" s="47"/>
      <c r="V701" s="47"/>
      <c r="W701" s="47"/>
      <c r="X701" s="47"/>
      <c r="Y701" s="47"/>
      <c r="Z701" s="47"/>
    </row>
    <row r="702" spans="1:26" ht="12.75" customHeight="1">
      <c r="A702" s="47"/>
      <c r="B702" s="47"/>
      <c r="C702" s="47"/>
      <c r="D702" s="47"/>
      <c r="E702" s="47"/>
      <c r="F702" s="47"/>
      <c r="G702" s="47"/>
      <c r="H702" s="84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47"/>
      <c r="U702" s="47"/>
      <c r="V702" s="47"/>
      <c r="W702" s="47"/>
      <c r="X702" s="47"/>
      <c r="Y702" s="47"/>
      <c r="Z702" s="47"/>
    </row>
    <row r="703" spans="1:26" ht="12.75" customHeight="1">
      <c r="A703" s="47"/>
      <c r="B703" s="47"/>
      <c r="C703" s="47"/>
      <c r="D703" s="47"/>
      <c r="E703" s="47"/>
      <c r="F703" s="47"/>
      <c r="G703" s="47"/>
      <c r="H703" s="84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47"/>
      <c r="U703" s="47"/>
      <c r="V703" s="47"/>
      <c r="W703" s="47"/>
      <c r="X703" s="47"/>
      <c r="Y703" s="47"/>
      <c r="Z703" s="47"/>
    </row>
    <row r="704" spans="1:26" ht="12.75" customHeight="1">
      <c r="A704" s="47"/>
      <c r="B704" s="47"/>
      <c r="C704" s="47"/>
      <c r="D704" s="47"/>
      <c r="E704" s="47"/>
      <c r="F704" s="47"/>
      <c r="G704" s="47"/>
      <c r="H704" s="84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47"/>
      <c r="U704" s="47"/>
      <c r="V704" s="47"/>
      <c r="W704" s="47"/>
      <c r="X704" s="47"/>
      <c r="Y704" s="47"/>
      <c r="Z704" s="47"/>
    </row>
    <row r="705" spans="1:26" ht="12.75" customHeight="1">
      <c r="A705" s="47"/>
      <c r="B705" s="47"/>
      <c r="C705" s="47"/>
      <c r="D705" s="47"/>
      <c r="E705" s="47"/>
      <c r="F705" s="47"/>
      <c r="G705" s="47"/>
      <c r="H705" s="84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47"/>
      <c r="U705" s="47"/>
      <c r="V705" s="47"/>
      <c r="W705" s="47"/>
      <c r="X705" s="47"/>
      <c r="Y705" s="47"/>
      <c r="Z705" s="47"/>
    </row>
    <row r="706" spans="1:26" ht="12.75" customHeight="1">
      <c r="A706" s="47"/>
      <c r="B706" s="47"/>
      <c r="C706" s="47"/>
      <c r="D706" s="47"/>
      <c r="E706" s="47"/>
      <c r="F706" s="47"/>
      <c r="G706" s="47"/>
      <c r="H706" s="84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47"/>
      <c r="U706" s="47"/>
      <c r="V706" s="47"/>
      <c r="W706" s="47"/>
      <c r="X706" s="47"/>
      <c r="Y706" s="47"/>
      <c r="Z706" s="47"/>
    </row>
    <row r="707" spans="1:26" ht="12.75" customHeight="1">
      <c r="A707" s="47"/>
      <c r="B707" s="47"/>
      <c r="C707" s="47"/>
      <c r="D707" s="47"/>
      <c r="E707" s="47"/>
      <c r="F707" s="47"/>
      <c r="G707" s="47"/>
      <c r="H707" s="84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47"/>
      <c r="U707" s="47"/>
      <c r="V707" s="47"/>
      <c r="W707" s="47"/>
      <c r="X707" s="47"/>
      <c r="Y707" s="47"/>
      <c r="Z707" s="47"/>
    </row>
    <row r="708" spans="1:26" ht="12.75" customHeight="1">
      <c r="A708" s="47"/>
      <c r="B708" s="47"/>
      <c r="C708" s="47"/>
      <c r="D708" s="47"/>
      <c r="E708" s="47"/>
      <c r="F708" s="47"/>
      <c r="G708" s="47"/>
      <c r="H708" s="84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47"/>
      <c r="U708" s="47"/>
      <c r="V708" s="47"/>
      <c r="W708" s="47"/>
      <c r="X708" s="47"/>
      <c r="Y708" s="47"/>
      <c r="Z708" s="47"/>
    </row>
    <row r="709" spans="1:26" ht="12.75" customHeight="1">
      <c r="A709" s="47"/>
      <c r="B709" s="47"/>
      <c r="C709" s="47"/>
      <c r="D709" s="47"/>
      <c r="E709" s="47"/>
      <c r="F709" s="47"/>
      <c r="G709" s="47"/>
      <c r="H709" s="84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47"/>
      <c r="U709" s="47"/>
      <c r="V709" s="47"/>
      <c r="W709" s="47"/>
      <c r="X709" s="47"/>
      <c r="Y709" s="47"/>
      <c r="Z709" s="47"/>
    </row>
    <row r="710" spans="1:26" ht="12.75" customHeight="1">
      <c r="A710" s="47"/>
      <c r="B710" s="47"/>
      <c r="C710" s="47"/>
      <c r="D710" s="47"/>
      <c r="E710" s="47"/>
      <c r="F710" s="47"/>
      <c r="G710" s="47"/>
      <c r="H710" s="84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47"/>
      <c r="U710" s="47"/>
      <c r="V710" s="47"/>
      <c r="W710" s="47"/>
      <c r="X710" s="47"/>
      <c r="Y710" s="47"/>
      <c r="Z710" s="47"/>
    </row>
    <row r="711" spans="1:26" ht="12.75" customHeight="1">
      <c r="A711" s="47"/>
      <c r="B711" s="47"/>
      <c r="C711" s="47"/>
      <c r="D711" s="47"/>
      <c r="E711" s="47"/>
      <c r="F711" s="47"/>
      <c r="G711" s="47"/>
      <c r="H711" s="84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47"/>
      <c r="U711" s="47"/>
      <c r="V711" s="47"/>
      <c r="W711" s="47"/>
      <c r="X711" s="47"/>
      <c r="Y711" s="47"/>
      <c r="Z711" s="47"/>
    </row>
    <row r="712" spans="1:26" ht="12.75" customHeight="1">
      <c r="A712" s="47"/>
      <c r="B712" s="47"/>
      <c r="C712" s="47"/>
      <c r="D712" s="47"/>
      <c r="E712" s="47"/>
      <c r="F712" s="47"/>
      <c r="G712" s="47"/>
      <c r="H712" s="84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47"/>
      <c r="U712" s="47"/>
      <c r="V712" s="47"/>
      <c r="W712" s="47"/>
      <c r="X712" s="47"/>
      <c r="Y712" s="47"/>
      <c r="Z712" s="47"/>
    </row>
    <row r="713" spans="1:26" ht="12.75" customHeight="1">
      <c r="A713" s="47"/>
      <c r="B713" s="47"/>
      <c r="C713" s="47"/>
      <c r="D713" s="47"/>
      <c r="E713" s="47"/>
      <c r="F713" s="47"/>
      <c r="G713" s="47"/>
      <c r="H713" s="84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47"/>
      <c r="U713" s="47"/>
      <c r="V713" s="47"/>
      <c r="W713" s="47"/>
      <c r="X713" s="47"/>
      <c r="Y713" s="47"/>
      <c r="Z713" s="47"/>
    </row>
    <row r="714" spans="1:26" ht="12.75" customHeight="1">
      <c r="A714" s="47"/>
      <c r="B714" s="47"/>
      <c r="C714" s="47"/>
      <c r="D714" s="47"/>
      <c r="E714" s="47"/>
      <c r="F714" s="47"/>
      <c r="G714" s="47"/>
      <c r="H714" s="84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47"/>
      <c r="U714" s="47"/>
      <c r="V714" s="47"/>
      <c r="W714" s="47"/>
      <c r="X714" s="47"/>
      <c r="Y714" s="47"/>
      <c r="Z714" s="47"/>
    </row>
    <row r="715" spans="1:26" ht="12.75" customHeight="1">
      <c r="A715" s="47"/>
      <c r="B715" s="47"/>
      <c r="C715" s="47"/>
      <c r="D715" s="47"/>
      <c r="E715" s="47"/>
      <c r="F715" s="47"/>
      <c r="G715" s="47"/>
      <c r="H715" s="84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47"/>
      <c r="U715" s="47"/>
      <c r="V715" s="47"/>
      <c r="W715" s="47"/>
      <c r="X715" s="47"/>
      <c r="Y715" s="47"/>
      <c r="Z715" s="47"/>
    </row>
    <row r="716" spans="1:26" ht="12.75" customHeight="1">
      <c r="A716" s="47"/>
      <c r="B716" s="47"/>
      <c r="C716" s="47"/>
      <c r="D716" s="47"/>
      <c r="E716" s="47"/>
      <c r="F716" s="47"/>
      <c r="G716" s="47"/>
      <c r="H716" s="84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47"/>
      <c r="U716" s="47"/>
      <c r="V716" s="47"/>
      <c r="W716" s="47"/>
      <c r="X716" s="47"/>
      <c r="Y716" s="47"/>
      <c r="Z716" s="47"/>
    </row>
    <row r="717" spans="1:26" ht="12.75" customHeight="1">
      <c r="A717" s="47"/>
      <c r="B717" s="47"/>
      <c r="C717" s="47"/>
      <c r="D717" s="47"/>
      <c r="E717" s="47"/>
      <c r="F717" s="47"/>
      <c r="G717" s="47"/>
      <c r="H717" s="84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47"/>
      <c r="U717" s="47"/>
      <c r="V717" s="47"/>
      <c r="W717" s="47"/>
      <c r="X717" s="47"/>
      <c r="Y717" s="47"/>
      <c r="Z717" s="47"/>
    </row>
    <row r="718" spans="1:26" ht="12.75" customHeight="1">
      <c r="A718" s="47"/>
      <c r="B718" s="47"/>
      <c r="C718" s="47"/>
      <c r="D718" s="47"/>
      <c r="E718" s="47"/>
      <c r="F718" s="47"/>
      <c r="G718" s="47"/>
      <c r="H718" s="84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47"/>
      <c r="U718" s="47"/>
      <c r="V718" s="47"/>
      <c r="W718" s="47"/>
      <c r="X718" s="47"/>
      <c r="Y718" s="47"/>
      <c r="Z718" s="47"/>
    </row>
    <row r="719" spans="1:26" ht="12.75" customHeight="1">
      <c r="A719" s="47"/>
      <c r="B719" s="47"/>
      <c r="C719" s="47"/>
      <c r="D719" s="47"/>
      <c r="E719" s="47"/>
      <c r="F719" s="47"/>
      <c r="G719" s="47"/>
      <c r="H719" s="84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47"/>
      <c r="U719" s="47"/>
      <c r="V719" s="47"/>
      <c r="W719" s="47"/>
      <c r="X719" s="47"/>
      <c r="Y719" s="47"/>
      <c r="Z719" s="47"/>
    </row>
    <row r="720" spans="1:26" ht="12.75" customHeight="1">
      <c r="A720" s="47"/>
      <c r="B720" s="47"/>
      <c r="C720" s="47"/>
      <c r="D720" s="47"/>
      <c r="E720" s="47"/>
      <c r="F720" s="47"/>
      <c r="G720" s="47"/>
      <c r="H720" s="84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47"/>
      <c r="U720" s="47"/>
      <c r="V720" s="47"/>
      <c r="W720" s="47"/>
      <c r="X720" s="47"/>
      <c r="Y720" s="47"/>
      <c r="Z720" s="47"/>
    </row>
    <row r="721" spans="1:26" ht="12.75" customHeight="1">
      <c r="A721" s="47"/>
      <c r="B721" s="47"/>
      <c r="C721" s="47"/>
      <c r="D721" s="47"/>
      <c r="E721" s="47"/>
      <c r="F721" s="47"/>
      <c r="G721" s="47"/>
      <c r="H721" s="84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47"/>
      <c r="U721" s="47"/>
      <c r="V721" s="47"/>
      <c r="W721" s="47"/>
      <c r="X721" s="47"/>
      <c r="Y721" s="47"/>
      <c r="Z721" s="47"/>
    </row>
    <row r="722" spans="1:26" ht="12.75" customHeight="1">
      <c r="A722" s="47"/>
      <c r="B722" s="47"/>
      <c r="C722" s="47"/>
      <c r="D722" s="47"/>
      <c r="E722" s="47"/>
      <c r="F722" s="47"/>
      <c r="G722" s="47"/>
      <c r="H722" s="84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47"/>
      <c r="U722" s="47"/>
      <c r="V722" s="47"/>
      <c r="W722" s="47"/>
      <c r="X722" s="47"/>
      <c r="Y722" s="47"/>
      <c r="Z722" s="47"/>
    </row>
    <row r="723" spans="1:26" ht="12.75" customHeight="1">
      <c r="A723" s="47"/>
      <c r="B723" s="47"/>
      <c r="C723" s="47"/>
      <c r="D723" s="47"/>
      <c r="E723" s="47"/>
      <c r="F723" s="47"/>
      <c r="G723" s="47"/>
      <c r="H723" s="84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47"/>
      <c r="U723" s="47"/>
      <c r="V723" s="47"/>
      <c r="W723" s="47"/>
      <c r="X723" s="47"/>
      <c r="Y723" s="47"/>
      <c r="Z723" s="47"/>
    </row>
    <row r="724" spans="1:26" ht="12.75" customHeight="1">
      <c r="A724" s="47"/>
      <c r="B724" s="47"/>
      <c r="C724" s="47"/>
      <c r="D724" s="47"/>
      <c r="E724" s="47"/>
      <c r="F724" s="47"/>
      <c r="G724" s="47"/>
      <c r="H724" s="84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47"/>
      <c r="U724" s="47"/>
      <c r="V724" s="47"/>
      <c r="W724" s="47"/>
      <c r="X724" s="47"/>
      <c r="Y724" s="47"/>
      <c r="Z724" s="47"/>
    </row>
    <row r="725" spans="1:26" ht="12.75" customHeight="1">
      <c r="A725" s="47"/>
      <c r="B725" s="47"/>
      <c r="C725" s="47"/>
      <c r="D725" s="47"/>
      <c r="E725" s="47"/>
      <c r="F725" s="47"/>
      <c r="G725" s="47"/>
      <c r="H725" s="84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47"/>
      <c r="U725" s="47"/>
      <c r="V725" s="47"/>
      <c r="W725" s="47"/>
      <c r="X725" s="47"/>
      <c r="Y725" s="47"/>
      <c r="Z725" s="47"/>
    </row>
    <row r="726" spans="1:26" ht="12.75" customHeight="1">
      <c r="A726" s="47"/>
      <c r="B726" s="47"/>
      <c r="C726" s="47"/>
      <c r="D726" s="47"/>
      <c r="E726" s="47"/>
      <c r="F726" s="47"/>
      <c r="G726" s="47"/>
      <c r="H726" s="84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47"/>
      <c r="U726" s="47"/>
      <c r="V726" s="47"/>
      <c r="W726" s="47"/>
      <c r="X726" s="47"/>
      <c r="Y726" s="47"/>
      <c r="Z726" s="47"/>
    </row>
    <row r="727" spans="1:26" ht="12.75" customHeight="1">
      <c r="A727" s="47"/>
      <c r="B727" s="47"/>
      <c r="C727" s="47"/>
      <c r="D727" s="47"/>
      <c r="E727" s="47"/>
      <c r="F727" s="47"/>
      <c r="G727" s="47"/>
      <c r="H727" s="84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47"/>
      <c r="U727" s="47"/>
      <c r="V727" s="47"/>
      <c r="W727" s="47"/>
      <c r="X727" s="47"/>
      <c r="Y727" s="47"/>
      <c r="Z727" s="47"/>
    </row>
    <row r="728" spans="1:26" ht="12.75" customHeight="1">
      <c r="A728" s="47"/>
      <c r="B728" s="47"/>
      <c r="C728" s="47"/>
      <c r="D728" s="47"/>
      <c r="E728" s="47"/>
      <c r="F728" s="47"/>
      <c r="G728" s="47"/>
      <c r="H728" s="84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47"/>
      <c r="U728" s="47"/>
      <c r="V728" s="47"/>
      <c r="W728" s="47"/>
      <c r="X728" s="47"/>
      <c r="Y728" s="47"/>
      <c r="Z728" s="47"/>
    </row>
    <row r="729" spans="1:26" ht="12.75" customHeight="1">
      <c r="A729" s="47"/>
      <c r="B729" s="47"/>
      <c r="C729" s="47"/>
      <c r="D729" s="47"/>
      <c r="E729" s="47"/>
      <c r="F729" s="47"/>
      <c r="G729" s="47"/>
      <c r="H729" s="84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47"/>
      <c r="U729" s="47"/>
      <c r="V729" s="47"/>
      <c r="W729" s="47"/>
      <c r="X729" s="47"/>
      <c r="Y729" s="47"/>
      <c r="Z729" s="47"/>
    </row>
    <row r="730" spans="1:26" ht="12.75" customHeight="1">
      <c r="A730" s="47"/>
      <c r="B730" s="47"/>
      <c r="C730" s="47"/>
      <c r="D730" s="47"/>
      <c r="E730" s="47"/>
      <c r="F730" s="47"/>
      <c r="G730" s="47"/>
      <c r="H730" s="84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47"/>
      <c r="U730" s="47"/>
      <c r="V730" s="47"/>
      <c r="W730" s="47"/>
      <c r="X730" s="47"/>
      <c r="Y730" s="47"/>
      <c r="Z730" s="47"/>
    </row>
    <row r="731" spans="1:26" ht="12.75" customHeight="1">
      <c r="A731" s="47"/>
      <c r="B731" s="47"/>
      <c r="C731" s="47"/>
      <c r="D731" s="47"/>
      <c r="E731" s="47"/>
      <c r="F731" s="47"/>
      <c r="G731" s="47"/>
      <c r="H731" s="84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47"/>
      <c r="U731" s="47"/>
      <c r="V731" s="47"/>
      <c r="W731" s="47"/>
      <c r="X731" s="47"/>
      <c r="Y731" s="47"/>
      <c r="Z731" s="47"/>
    </row>
    <row r="732" spans="1:26" ht="12.75" customHeight="1">
      <c r="A732" s="47"/>
      <c r="B732" s="47"/>
      <c r="C732" s="47"/>
      <c r="D732" s="47"/>
      <c r="E732" s="47"/>
      <c r="F732" s="47"/>
      <c r="G732" s="47"/>
      <c r="H732" s="84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47"/>
      <c r="U732" s="47"/>
      <c r="V732" s="47"/>
      <c r="W732" s="47"/>
      <c r="X732" s="47"/>
      <c r="Y732" s="47"/>
      <c r="Z732" s="47"/>
    </row>
    <row r="733" spans="1:26" ht="12.75" customHeight="1">
      <c r="A733" s="47"/>
      <c r="B733" s="47"/>
      <c r="C733" s="47"/>
      <c r="D733" s="47"/>
      <c r="E733" s="47"/>
      <c r="F733" s="47"/>
      <c r="G733" s="47"/>
      <c r="H733" s="84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47"/>
      <c r="U733" s="47"/>
      <c r="V733" s="47"/>
      <c r="W733" s="47"/>
      <c r="X733" s="47"/>
      <c r="Y733" s="47"/>
      <c r="Z733" s="47"/>
    </row>
    <row r="734" spans="1:26" ht="12.75" customHeight="1">
      <c r="A734" s="47"/>
      <c r="B734" s="47"/>
      <c r="C734" s="47"/>
      <c r="D734" s="47"/>
      <c r="E734" s="47"/>
      <c r="F734" s="47"/>
      <c r="G734" s="47"/>
      <c r="H734" s="84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47"/>
      <c r="U734" s="47"/>
      <c r="V734" s="47"/>
      <c r="W734" s="47"/>
      <c r="X734" s="47"/>
      <c r="Y734" s="47"/>
      <c r="Z734" s="47"/>
    </row>
    <row r="735" spans="1:26" ht="12.75" customHeight="1">
      <c r="A735" s="47"/>
      <c r="B735" s="47"/>
      <c r="C735" s="47"/>
      <c r="D735" s="47"/>
      <c r="E735" s="47"/>
      <c r="F735" s="47"/>
      <c r="G735" s="47"/>
      <c r="H735" s="84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47"/>
      <c r="U735" s="47"/>
      <c r="V735" s="47"/>
      <c r="W735" s="47"/>
      <c r="X735" s="47"/>
      <c r="Y735" s="47"/>
      <c r="Z735" s="47"/>
    </row>
    <row r="736" spans="1:26" ht="12.75" customHeight="1">
      <c r="A736" s="47"/>
      <c r="B736" s="47"/>
      <c r="C736" s="47"/>
      <c r="D736" s="47"/>
      <c r="E736" s="47"/>
      <c r="F736" s="47"/>
      <c r="G736" s="47"/>
      <c r="H736" s="84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47"/>
      <c r="U736" s="47"/>
      <c r="V736" s="47"/>
      <c r="W736" s="47"/>
      <c r="X736" s="47"/>
      <c r="Y736" s="47"/>
      <c r="Z736" s="47"/>
    </row>
    <row r="737" spans="1:26" ht="12.75" customHeight="1">
      <c r="A737" s="47"/>
      <c r="B737" s="47"/>
      <c r="C737" s="47"/>
      <c r="D737" s="47"/>
      <c r="E737" s="47"/>
      <c r="F737" s="47"/>
      <c r="G737" s="47"/>
      <c r="H737" s="84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47"/>
      <c r="U737" s="47"/>
      <c r="V737" s="47"/>
      <c r="W737" s="47"/>
      <c r="X737" s="47"/>
      <c r="Y737" s="47"/>
      <c r="Z737" s="47"/>
    </row>
    <row r="738" spans="1:26" ht="12.75" customHeight="1">
      <c r="A738" s="47"/>
      <c r="B738" s="47"/>
      <c r="C738" s="47"/>
      <c r="D738" s="47"/>
      <c r="E738" s="47"/>
      <c r="F738" s="47"/>
      <c r="G738" s="47"/>
      <c r="H738" s="84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47"/>
      <c r="U738" s="47"/>
      <c r="V738" s="47"/>
      <c r="W738" s="47"/>
      <c r="X738" s="47"/>
      <c r="Y738" s="47"/>
      <c r="Z738" s="47"/>
    </row>
    <row r="739" spans="1:26" ht="12.75" customHeight="1">
      <c r="A739" s="47"/>
      <c r="B739" s="47"/>
      <c r="C739" s="47"/>
      <c r="D739" s="47"/>
      <c r="E739" s="47"/>
      <c r="F739" s="47"/>
      <c r="G739" s="47"/>
      <c r="H739" s="84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47"/>
      <c r="U739" s="47"/>
      <c r="V739" s="47"/>
      <c r="W739" s="47"/>
      <c r="X739" s="47"/>
      <c r="Y739" s="47"/>
      <c r="Z739" s="47"/>
    </row>
    <row r="740" spans="1:26" ht="12.75" customHeight="1">
      <c r="A740" s="47"/>
      <c r="B740" s="47"/>
      <c r="C740" s="47"/>
      <c r="D740" s="47"/>
      <c r="E740" s="47"/>
      <c r="F740" s="47"/>
      <c r="G740" s="47"/>
      <c r="H740" s="84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47"/>
      <c r="U740" s="47"/>
      <c r="V740" s="47"/>
      <c r="W740" s="47"/>
      <c r="X740" s="47"/>
      <c r="Y740" s="47"/>
      <c r="Z740" s="47"/>
    </row>
    <row r="741" spans="1:26" ht="12.75" customHeight="1">
      <c r="A741" s="47"/>
      <c r="B741" s="47"/>
      <c r="C741" s="47"/>
      <c r="D741" s="47"/>
      <c r="E741" s="47"/>
      <c r="F741" s="47"/>
      <c r="G741" s="47"/>
      <c r="H741" s="84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47"/>
      <c r="U741" s="47"/>
      <c r="V741" s="47"/>
      <c r="W741" s="47"/>
      <c r="X741" s="47"/>
      <c r="Y741" s="47"/>
      <c r="Z741" s="47"/>
    </row>
    <row r="742" spans="1:26" ht="12.75" customHeight="1">
      <c r="A742" s="47"/>
      <c r="B742" s="47"/>
      <c r="C742" s="47"/>
      <c r="D742" s="47"/>
      <c r="E742" s="47"/>
      <c r="F742" s="47"/>
      <c r="G742" s="47"/>
      <c r="H742" s="84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47"/>
      <c r="U742" s="47"/>
      <c r="V742" s="47"/>
      <c r="W742" s="47"/>
      <c r="X742" s="47"/>
      <c r="Y742" s="47"/>
      <c r="Z742" s="47"/>
    </row>
    <row r="743" spans="1:26" ht="12.75" customHeight="1">
      <c r="A743" s="47"/>
      <c r="B743" s="47"/>
      <c r="C743" s="47"/>
      <c r="D743" s="47"/>
      <c r="E743" s="47"/>
      <c r="F743" s="47"/>
      <c r="G743" s="47"/>
      <c r="H743" s="84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47"/>
      <c r="U743" s="47"/>
      <c r="V743" s="47"/>
      <c r="W743" s="47"/>
      <c r="X743" s="47"/>
      <c r="Y743" s="47"/>
      <c r="Z743" s="47"/>
    </row>
    <row r="744" spans="1:26" ht="12.75" customHeight="1">
      <c r="A744" s="47"/>
      <c r="B744" s="47"/>
      <c r="C744" s="47"/>
      <c r="D744" s="47"/>
      <c r="E744" s="47"/>
      <c r="F744" s="47"/>
      <c r="G744" s="47"/>
      <c r="H744" s="84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47"/>
      <c r="U744" s="47"/>
      <c r="V744" s="47"/>
      <c r="W744" s="47"/>
      <c r="X744" s="47"/>
      <c r="Y744" s="47"/>
      <c r="Z744" s="47"/>
    </row>
    <row r="745" spans="1:26" ht="12.75" customHeight="1">
      <c r="A745" s="47"/>
      <c r="B745" s="47"/>
      <c r="C745" s="47"/>
      <c r="D745" s="47"/>
      <c r="E745" s="47"/>
      <c r="F745" s="47"/>
      <c r="G745" s="47"/>
      <c r="H745" s="84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47"/>
      <c r="U745" s="47"/>
      <c r="V745" s="47"/>
      <c r="W745" s="47"/>
      <c r="X745" s="47"/>
      <c r="Y745" s="47"/>
      <c r="Z745" s="47"/>
    </row>
    <row r="746" spans="1:26" ht="12.75" customHeight="1">
      <c r="A746" s="47"/>
      <c r="B746" s="47"/>
      <c r="C746" s="47"/>
      <c r="D746" s="47"/>
      <c r="E746" s="47"/>
      <c r="F746" s="47"/>
      <c r="G746" s="47"/>
      <c r="H746" s="84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47"/>
      <c r="U746" s="47"/>
      <c r="V746" s="47"/>
      <c r="W746" s="47"/>
      <c r="X746" s="47"/>
      <c r="Y746" s="47"/>
      <c r="Z746" s="47"/>
    </row>
    <row r="747" spans="1:26" ht="12.75" customHeight="1">
      <c r="A747" s="47"/>
      <c r="B747" s="47"/>
      <c r="C747" s="47"/>
      <c r="D747" s="47"/>
      <c r="E747" s="47"/>
      <c r="F747" s="47"/>
      <c r="G747" s="47"/>
      <c r="H747" s="84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47"/>
      <c r="U747" s="47"/>
      <c r="V747" s="47"/>
      <c r="W747" s="47"/>
      <c r="X747" s="47"/>
      <c r="Y747" s="47"/>
      <c r="Z747" s="47"/>
    </row>
    <row r="748" spans="1:26" ht="12.75" customHeight="1">
      <c r="A748" s="47"/>
      <c r="B748" s="47"/>
      <c r="C748" s="47"/>
      <c r="D748" s="47"/>
      <c r="E748" s="47"/>
      <c r="F748" s="47"/>
      <c r="G748" s="47"/>
      <c r="H748" s="84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47"/>
      <c r="U748" s="47"/>
      <c r="V748" s="47"/>
      <c r="W748" s="47"/>
      <c r="X748" s="47"/>
      <c r="Y748" s="47"/>
      <c r="Z748" s="47"/>
    </row>
    <row r="749" spans="1:26" ht="12.75" customHeight="1">
      <c r="A749" s="47"/>
      <c r="B749" s="47"/>
      <c r="C749" s="47"/>
      <c r="D749" s="47"/>
      <c r="E749" s="47"/>
      <c r="F749" s="47"/>
      <c r="G749" s="47"/>
      <c r="H749" s="84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47"/>
      <c r="U749" s="47"/>
      <c r="V749" s="47"/>
      <c r="W749" s="47"/>
      <c r="X749" s="47"/>
      <c r="Y749" s="47"/>
      <c r="Z749" s="47"/>
    </row>
    <row r="750" spans="1:26" ht="12.75" customHeight="1">
      <c r="A750" s="47"/>
      <c r="B750" s="47"/>
      <c r="C750" s="47"/>
      <c r="D750" s="47"/>
      <c r="E750" s="47"/>
      <c r="F750" s="47"/>
      <c r="G750" s="47"/>
      <c r="H750" s="84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47"/>
      <c r="U750" s="47"/>
      <c r="V750" s="47"/>
      <c r="W750" s="47"/>
      <c r="X750" s="47"/>
      <c r="Y750" s="47"/>
      <c r="Z750" s="47"/>
    </row>
    <row r="751" spans="1:26" ht="12.75" customHeight="1">
      <c r="A751" s="47"/>
      <c r="B751" s="47"/>
      <c r="C751" s="47"/>
      <c r="D751" s="47"/>
      <c r="E751" s="47"/>
      <c r="F751" s="47"/>
      <c r="G751" s="47"/>
      <c r="H751" s="84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47"/>
      <c r="U751" s="47"/>
      <c r="V751" s="47"/>
      <c r="W751" s="47"/>
      <c r="X751" s="47"/>
      <c r="Y751" s="47"/>
      <c r="Z751" s="47"/>
    </row>
    <row r="752" spans="1:26" ht="12.75" customHeight="1">
      <c r="A752" s="47"/>
      <c r="B752" s="47"/>
      <c r="C752" s="47"/>
      <c r="D752" s="47"/>
      <c r="E752" s="47"/>
      <c r="F752" s="47"/>
      <c r="G752" s="47"/>
      <c r="H752" s="84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47"/>
      <c r="U752" s="47"/>
      <c r="V752" s="47"/>
      <c r="W752" s="47"/>
      <c r="X752" s="47"/>
      <c r="Y752" s="47"/>
      <c r="Z752" s="47"/>
    </row>
    <row r="753" spans="1:26" ht="12.75" customHeight="1">
      <c r="A753" s="47"/>
      <c r="B753" s="47"/>
      <c r="C753" s="47"/>
      <c r="D753" s="47"/>
      <c r="E753" s="47"/>
      <c r="F753" s="47"/>
      <c r="G753" s="47"/>
      <c r="H753" s="84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47"/>
      <c r="U753" s="47"/>
      <c r="V753" s="47"/>
      <c r="W753" s="47"/>
      <c r="X753" s="47"/>
      <c r="Y753" s="47"/>
      <c r="Z753" s="47"/>
    </row>
    <row r="754" spans="1:26" ht="12.75" customHeight="1">
      <c r="A754" s="47"/>
      <c r="B754" s="47"/>
      <c r="C754" s="47"/>
      <c r="D754" s="47"/>
      <c r="E754" s="47"/>
      <c r="F754" s="47"/>
      <c r="G754" s="47"/>
      <c r="H754" s="84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47"/>
      <c r="U754" s="47"/>
      <c r="V754" s="47"/>
      <c r="W754" s="47"/>
      <c r="X754" s="47"/>
      <c r="Y754" s="47"/>
      <c r="Z754" s="47"/>
    </row>
    <row r="755" spans="1:26" ht="12.75" customHeight="1">
      <c r="A755" s="47"/>
      <c r="B755" s="47"/>
      <c r="C755" s="47"/>
      <c r="D755" s="47"/>
      <c r="E755" s="47"/>
      <c r="F755" s="47"/>
      <c r="G755" s="47"/>
      <c r="H755" s="84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47"/>
      <c r="U755" s="47"/>
      <c r="V755" s="47"/>
      <c r="W755" s="47"/>
      <c r="X755" s="47"/>
      <c r="Y755" s="47"/>
      <c r="Z755" s="47"/>
    </row>
    <row r="756" spans="1:26" ht="12.75" customHeight="1">
      <c r="A756" s="47"/>
      <c r="B756" s="47"/>
      <c r="C756" s="47"/>
      <c r="D756" s="47"/>
      <c r="E756" s="47"/>
      <c r="F756" s="47"/>
      <c r="G756" s="47"/>
      <c r="H756" s="84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47"/>
      <c r="U756" s="47"/>
      <c r="V756" s="47"/>
      <c r="W756" s="47"/>
      <c r="X756" s="47"/>
      <c r="Y756" s="47"/>
      <c r="Z756" s="47"/>
    </row>
    <row r="757" spans="1:26" ht="12.75" customHeight="1">
      <c r="A757" s="47"/>
      <c r="B757" s="47"/>
      <c r="C757" s="47"/>
      <c r="D757" s="47"/>
      <c r="E757" s="47"/>
      <c r="F757" s="47"/>
      <c r="G757" s="47"/>
      <c r="H757" s="84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47"/>
      <c r="U757" s="47"/>
      <c r="V757" s="47"/>
      <c r="W757" s="47"/>
      <c r="X757" s="47"/>
      <c r="Y757" s="47"/>
      <c r="Z757" s="47"/>
    </row>
    <row r="758" spans="1:26" ht="12.75" customHeight="1">
      <c r="A758" s="47"/>
      <c r="B758" s="47"/>
      <c r="C758" s="47"/>
      <c r="D758" s="47"/>
      <c r="E758" s="47"/>
      <c r="F758" s="47"/>
      <c r="G758" s="47"/>
      <c r="H758" s="84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47"/>
      <c r="U758" s="47"/>
      <c r="V758" s="47"/>
      <c r="W758" s="47"/>
      <c r="X758" s="47"/>
      <c r="Y758" s="47"/>
      <c r="Z758" s="47"/>
    </row>
    <row r="759" spans="1:26" ht="12.75" customHeight="1">
      <c r="A759" s="47"/>
      <c r="B759" s="47"/>
      <c r="C759" s="47"/>
      <c r="D759" s="47"/>
      <c r="E759" s="47"/>
      <c r="F759" s="47"/>
      <c r="G759" s="47"/>
      <c r="H759" s="84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47"/>
      <c r="U759" s="47"/>
      <c r="V759" s="47"/>
      <c r="W759" s="47"/>
      <c r="X759" s="47"/>
      <c r="Y759" s="47"/>
      <c r="Z759" s="47"/>
    </row>
    <row r="760" spans="1:26" ht="12.75" customHeight="1">
      <c r="A760" s="47"/>
      <c r="B760" s="47"/>
      <c r="C760" s="47"/>
      <c r="D760" s="47"/>
      <c r="E760" s="47"/>
      <c r="F760" s="47"/>
      <c r="G760" s="47"/>
      <c r="H760" s="84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47"/>
      <c r="U760" s="47"/>
      <c r="V760" s="47"/>
      <c r="W760" s="47"/>
      <c r="X760" s="47"/>
      <c r="Y760" s="47"/>
      <c r="Z760" s="47"/>
    </row>
    <row r="761" spans="1:26" ht="12.75" customHeight="1">
      <c r="A761" s="47"/>
      <c r="B761" s="47"/>
      <c r="C761" s="47"/>
      <c r="D761" s="47"/>
      <c r="E761" s="47"/>
      <c r="F761" s="47"/>
      <c r="G761" s="47"/>
      <c r="H761" s="84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47"/>
      <c r="U761" s="47"/>
      <c r="V761" s="47"/>
      <c r="W761" s="47"/>
      <c r="X761" s="47"/>
      <c r="Y761" s="47"/>
      <c r="Z761" s="47"/>
    </row>
    <row r="762" spans="1:26" ht="12.75" customHeight="1">
      <c r="A762" s="47"/>
      <c r="B762" s="47"/>
      <c r="C762" s="47"/>
      <c r="D762" s="47"/>
      <c r="E762" s="47"/>
      <c r="F762" s="47"/>
      <c r="G762" s="47"/>
      <c r="H762" s="84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47"/>
      <c r="U762" s="47"/>
      <c r="V762" s="47"/>
      <c r="W762" s="47"/>
      <c r="X762" s="47"/>
      <c r="Y762" s="47"/>
      <c r="Z762" s="47"/>
    </row>
    <row r="763" spans="1:26" ht="12.75" customHeight="1">
      <c r="A763" s="47"/>
      <c r="B763" s="47"/>
      <c r="C763" s="47"/>
      <c r="D763" s="47"/>
      <c r="E763" s="47"/>
      <c r="F763" s="47"/>
      <c r="G763" s="47"/>
      <c r="H763" s="84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47"/>
      <c r="U763" s="47"/>
      <c r="V763" s="47"/>
      <c r="W763" s="47"/>
      <c r="X763" s="47"/>
      <c r="Y763" s="47"/>
      <c r="Z763" s="47"/>
    </row>
    <row r="764" spans="1:26" ht="12.75" customHeight="1">
      <c r="A764" s="47"/>
      <c r="B764" s="47"/>
      <c r="C764" s="47"/>
      <c r="D764" s="47"/>
      <c r="E764" s="47"/>
      <c r="F764" s="47"/>
      <c r="G764" s="47"/>
      <c r="H764" s="84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47"/>
      <c r="U764" s="47"/>
      <c r="V764" s="47"/>
      <c r="W764" s="47"/>
      <c r="X764" s="47"/>
      <c r="Y764" s="47"/>
      <c r="Z764" s="47"/>
    </row>
    <row r="765" spans="1:26" ht="12.75" customHeight="1">
      <c r="A765" s="47"/>
      <c r="B765" s="47"/>
      <c r="C765" s="47"/>
      <c r="D765" s="47"/>
      <c r="E765" s="47"/>
      <c r="F765" s="47"/>
      <c r="G765" s="47"/>
      <c r="H765" s="84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47"/>
      <c r="U765" s="47"/>
      <c r="V765" s="47"/>
      <c r="W765" s="47"/>
      <c r="X765" s="47"/>
      <c r="Y765" s="47"/>
      <c r="Z765" s="47"/>
    </row>
    <row r="766" spans="1:26" ht="12.75" customHeight="1">
      <c r="A766" s="47"/>
      <c r="B766" s="47"/>
      <c r="C766" s="47"/>
      <c r="D766" s="47"/>
      <c r="E766" s="47"/>
      <c r="F766" s="47"/>
      <c r="G766" s="47"/>
      <c r="H766" s="84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47"/>
      <c r="U766" s="47"/>
      <c r="V766" s="47"/>
      <c r="W766" s="47"/>
      <c r="X766" s="47"/>
      <c r="Y766" s="47"/>
      <c r="Z766" s="47"/>
    </row>
    <row r="767" spans="1:26" ht="12.75" customHeight="1">
      <c r="A767" s="47"/>
      <c r="B767" s="47"/>
      <c r="C767" s="47"/>
      <c r="D767" s="47"/>
      <c r="E767" s="47"/>
      <c r="F767" s="47"/>
      <c r="G767" s="47"/>
      <c r="H767" s="84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47"/>
      <c r="U767" s="47"/>
      <c r="V767" s="47"/>
      <c r="W767" s="47"/>
      <c r="X767" s="47"/>
      <c r="Y767" s="47"/>
      <c r="Z767" s="47"/>
    </row>
    <row r="768" spans="1:26" ht="12.75" customHeight="1">
      <c r="A768" s="47"/>
      <c r="B768" s="47"/>
      <c r="C768" s="47"/>
      <c r="D768" s="47"/>
      <c r="E768" s="47"/>
      <c r="F768" s="47"/>
      <c r="G768" s="47"/>
      <c r="H768" s="84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47"/>
      <c r="U768" s="47"/>
      <c r="V768" s="47"/>
      <c r="W768" s="47"/>
      <c r="X768" s="47"/>
      <c r="Y768" s="47"/>
      <c r="Z768" s="47"/>
    </row>
    <row r="769" spans="1:26" ht="12.75" customHeight="1">
      <c r="A769" s="47"/>
      <c r="B769" s="47"/>
      <c r="C769" s="47"/>
      <c r="D769" s="47"/>
      <c r="E769" s="47"/>
      <c r="F769" s="47"/>
      <c r="G769" s="47"/>
      <c r="H769" s="84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47"/>
      <c r="U769" s="47"/>
      <c r="V769" s="47"/>
      <c r="W769" s="47"/>
      <c r="X769" s="47"/>
      <c r="Y769" s="47"/>
      <c r="Z769" s="47"/>
    </row>
    <row r="770" spans="1:26" ht="12.75" customHeight="1">
      <c r="A770" s="47"/>
      <c r="B770" s="47"/>
      <c r="C770" s="47"/>
      <c r="D770" s="47"/>
      <c r="E770" s="47"/>
      <c r="F770" s="47"/>
      <c r="G770" s="47"/>
      <c r="H770" s="84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47"/>
      <c r="U770" s="47"/>
      <c r="V770" s="47"/>
      <c r="W770" s="47"/>
      <c r="X770" s="47"/>
      <c r="Y770" s="47"/>
      <c r="Z770" s="47"/>
    </row>
    <row r="771" spans="1:26" ht="12.75" customHeight="1">
      <c r="A771" s="47"/>
      <c r="B771" s="47"/>
      <c r="C771" s="47"/>
      <c r="D771" s="47"/>
      <c r="E771" s="47"/>
      <c r="F771" s="47"/>
      <c r="G771" s="47"/>
      <c r="H771" s="84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47"/>
      <c r="U771" s="47"/>
      <c r="V771" s="47"/>
      <c r="W771" s="47"/>
      <c r="X771" s="47"/>
      <c r="Y771" s="47"/>
      <c r="Z771" s="47"/>
    </row>
    <row r="772" spans="1:26" ht="12.75" customHeight="1">
      <c r="A772" s="47"/>
      <c r="B772" s="47"/>
      <c r="C772" s="47"/>
      <c r="D772" s="47"/>
      <c r="E772" s="47"/>
      <c r="F772" s="47"/>
      <c r="G772" s="47"/>
      <c r="H772" s="84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47"/>
      <c r="U772" s="47"/>
      <c r="V772" s="47"/>
      <c r="W772" s="47"/>
      <c r="X772" s="47"/>
      <c r="Y772" s="47"/>
      <c r="Z772" s="47"/>
    </row>
    <row r="773" spans="1:26" ht="12.75" customHeight="1">
      <c r="A773" s="47"/>
      <c r="B773" s="47"/>
      <c r="C773" s="47"/>
      <c r="D773" s="47"/>
      <c r="E773" s="47"/>
      <c r="F773" s="47"/>
      <c r="G773" s="47"/>
      <c r="H773" s="84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47"/>
      <c r="U773" s="47"/>
      <c r="V773" s="47"/>
      <c r="W773" s="47"/>
      <c r="X773" s="47"/>
      <c r="Y773" s="47"/>
      <c r="Z773" s="47"/>
    </row>
    <row r="774" spans="1:26" ht="12.75" customHeight="1">
      <c r="A774" s="47"/>
      <c r="B774" s="47"/>
      <c r="C774" s="47"/>
      <c r="D774" s="47"/>
      <c r="E774" s="47"/>
      <c r="F774" s="47"/>
      <c r="G774" s="47"/>
      <c r="H774" s="84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47"/>
      <c r="U774" s="47"/>
      <c r="V774" s="47"/>
      <c r="W774" s="47"/>
      <c r="X774" s="47"/>
      <c r="Y774" s="47"/>
      <c r="Z774" s="47"/>
    </row>
    <row r="775" spans="1:26" ht="12.75" customHeight="1">
      <c r="A775" s="47"/>
      <c r="B775" s="47"/>
      <c r="C775" s="47"/>
      <c r="D775" s="47"/>
      <c r="E775" s="47"/>
      <c r="F775" s="47"/>
      <c r="G775" s="47"/>
      <c r="H775" s="84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47"/>
      <c r="U775" s="47"/>
      <c r="V775" s="47"/>
      <c r="W775" s="47"/>
      <c r="X775" s="47"/>
      <c r="Y775" s="47"/>
      <c r="Z775" s="47"/>
    </row>
    <row r="776" spans="1:26" ht="12.75" customHeight="1">
      <c r="A776" s="47"/>
      <c r="B776" s="47"/>
      <c r="C776" s="47"/>
      <c r="D776" s="47"/>
      <c r="E776" s="47"/>
      <c r="F776" s="47"/>
      <c r="G776" s="47"/>
      <c r="H776" s="84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47"/>
      <c r="U776" s="47"/>
      <c r="V776" s="47"/>
      <c r="W776" s="47"/>
      <c r="X776" s="47"/>
      <c r="Y776" s="47"/>
      <c r="Z776" s="47"/>
    </row>
    <row r="777" spans="1:26" ht="12.75" customHeight="1">
      <c r="A777" s="47"/>
      <c r="B777" s="47"/>
      <c r="C777" s="47"/>
      <c r="D777" s="47"/>
      <c r="E777" s="47"/>
      <c r="F777" s="47"/>
      <c r="G777" s="47"/>
      <c r="H777" s="84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47"/>
      <c r="U777" s="47"/>
      <c r="V777" s="47"/>
      <c r="W777" s="47"/>
      <c r="X777" s="47"/>
      <c r="Y777" s="47"/>
      <c r="Z777" s="47"/>
    </row>
    <row r="778" spans="1:26" ht="12.75" customHeight="1">
      <c r="A778" s="47"/>
      <c r="B778" s="47"/>
      <c r="C778" s="47"/>
      <c r="D778" s="47"/>
      <c r="E778" s="47"/>
      <c r="F778" s="47"/>
      <c r="G778" s="47"/>
      <c r="H778" s="84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47"/>
      <c r="U778" s="47"/>
      <c r="V778" s="47"/>
      <c r="W778" s="47"/>
      <c r="X778" s="47"/>
      <c r="Y778" s="47"/>
      <c r="Z778" s="47"/>
    </row>
    <row r="779" spans="1:26" ht="12.75" customHeight="1">
      <c r="A779" s="47"/>
      <c r="B779" s="47"/>
      <c r="C779" s="47"/>
      <c r="D779" s="47"/>
      <c r="E779" s="47"/>
      <c r="F779" s="47"/>
      <c r="G779" s="47"/>
      <c r="H779" s="84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47"/>
      <c r="U779" s="47"/>
      <c r="V779" s="47"/>
      <c r="W779" s="47"/>
      <c r="X779" s="47"/>
      <c r="Y779" s="47"/>
      <c r="Z779" s="47"/>
    </row>
    <row r="780" spans="1:26" ht="12.75" customHeight="1">
      <c r="A780" s="47"/>
      <c r="B780" s="47"/>
      <c r="C780" s="47"/>
      <c r="D780" s="47"/>
      <c r="E780" s="47"/>
      <c r="F780" s="47"/>
      <c r="G780" s="47"/>
      <c r="H780" s="84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47"/>
      <c r="U780" s="47"/>
      <c r="V780" s="47"/>
      <c r="W780" s="47"/>
      <c r="X780" s="47"/>
      <c r="Y780" s="47"/>
      <c r="Z780" s="47"/>
    </row>
    <row r="781" spans="1:26" ht="12.75" customHeight="1">
      <c r="A781" s="47"/>
      <c r="B781" s="47"/>
      <c r="C781" s="47"/>
      <c r="D781" s="47"/>
      <c r="E781" s="47"/>
      <c r="F781" s="47"/>
      <c r="G781" s="47"/>
      <c r="H781" s="84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47"/>
      <c r="U781" s="47"/>
      <c r="V781" s="47"/>
      <c r="W781" s="47"/>
      <c r="X781" s="47"/>
      <c r="Y781" s="47"/>
      <c r="Z781" s="47"/>
    </row>
    <row r="782" spans="1:26" ht="12.75" customHeight="1">
      <c r="A782" s="47"/>
      <c r="B782" s="47"/>
      <c r="C782" s="47"/>
      <c r="D782" s="47"/>
      <c r="E782" s="47"/>
      <c r="F782" s="47"/>
      <c r="G782" s="47"/>
      <c r="H782" s="84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47"/>
      <c r="U782" s="47"/>
      <c r="V782" s="47"/>
      <c r="W782" s="47"/>
      <c r="X782" s="47"/>
      <c r="Y782" s="47"/>
      <c r="Z782" s="47"/>
    </row>
    <row r="783" spans="1:26" ht="12.75" customHeight="1">
      <c r="A783" s="47"/>
      <c r="B783" s="47"/>
      <c r="C783" s="47"/>
      <c r="D783" s="47"/>
      <c r="E783" s="47"/>
      <c r="F783" s="47"/>
      <c r="G783" s="47"/>
      <c r="H783" s="84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47"/>
      <c r="U783" s="47"/>
      <c r="V783" s="47"/>
      <c r="W783" s="47"/>
      <c r="X783" s="47"/>
      <c r="Y783" s="47"/>
      <c r="Z783" s="47"/>
    </row>
    <row r="784" spans="1:26" ht="12.75" customHeight="1">
      <c r="A784" s="47"/>
      <c r="B784" s="47"/>
      <c r="C784" s="47"/>
      <c r="D784" s="47"/>
      <c r="E784" s="47"/>
      <c r="F784" s="47"/>
      <c r="G784" s="47"/>
      <c r="H784" s="84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47"/>
      <c r="U784" s="47"/>
      <c r="V784" s="47"/>
      <c r="W784" s="47"/>
      <c r="X784" s="47"/>
      <c r="Y784" s="47"/>
      <c r="Z784" s="47"/>
    </row>
    <row r="785" spans="1:26" ht="12.75" customHeight="1">
      <c r="A785" s="47"/>
      <c r="B785" s="47"/>
      <c r="C785" s="47"/>
      <c r="D785" s="47"/>
      <c r="E785" s="47"/>
      <c r="F785" s="47"/>
      <c r="G785" s="47"/>
      <c r="H785" s="84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47"/>
      <c r="U785" s="47"/>
      <c r="V785" s="47"/>
      <c r="W785" s="47"/>
      <c r="X785" s="47"/>
      <c r="Y785" s="47"/>
      <c r="Z785" s="47"/>
    </row>
    <row r="786" spans="1:26" ht="12.75" customHeight="1">
      <c r="A786" s="47"/>
      <c r="B786" s="47"/>
      <c r="C786" s="47"/>
      <c r="D786" s="47"/>
      <c r="E786" s="47"/>
      <c r="F786" s="47"/>
      <c r="G786" s="47"/>
      <c r="H786" s="84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47"/>
      <c r="U786" s="47"/>
      <c r="V786" s="47"/>
      <c r="W786" s="47"/>
      <c r="X786" s="47"/>
      <c r="Y786" s="47"/>
      <c r="Z786" s="47"/>
    </row>
    <row r="787" spans="1:26" ht="12.75" customHeight="1">
      <c r="A787" s="47"/>
      <c r="B787" s="47"/>
      <c r="C787" s="47"/>
      <c r="D787" s="47"/>
      <c r="E787" s="47"/>
      <c r="F787" s="47"/>
      <c r="G787" s="47"/>
      <c r="H787" s="84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47"/>
      <c r="U787" s="47"/>
      <c r="V787" s="47"/>
      <c r="W787" s="47"/>
      <c r="X787" s="47"/>
      <c r="Y787" s="47"/>
      <c r="Z787" s="47"/>
    </row>
    <row r="788" spans="1:26" ht="12.75" customHeight="1">
      <c r="A788" s="47"/>
      <c r="B788" s="47"/>
      <c r="C788" s="47"/>
      <c r="D788" s="47"/>
      <c r="E788" s="47"/>
      <c r="F788" s="47"/>
      <c r="G788" s="47"/>
      <c r="H788" s="84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47"/>
      <c r="U788" s="47"/>
      <c r="V788" s="47"/>
      <c r="W788" s="47"/>
      <c r="X788" s="47"/>
      <c r="Y788" s="47"/>
      <c r="Z788" s="47"/>
    </row>
    <row r="789" spans="1:26" ht="12.75" customHeight="1">
      <c r="A789" s="47"/>
      <c r="B789" s="47"/>
      <c r="C789" s="47"/>
      <c r="D789" s="47"/>
      <c r="E789" s="47"/>
      <c r="F789" s="47"/>
      <c r="G789" s="47"/>
      <c r="H789" s="84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47"/>
      <c r="U789" s="47"/>
      <c r="V789" s="47"/>
      <c r="W789" s="47"/>
      <c r="X789" s="47"/>
      <c r="Y789" s="47"/>
      <c r="Z789" s="47"/>
    </row>
    <row r="790" spans="1:26" ht="12.75" customHeight="1">
      <c r="A790" s="47"/>
      <c r="B790" s="47"/>
      <c r="C790" s="47"/>
      <c r="D790" s="47"/>
      <c r="E790" s="47"/>
      <c r="F790" s="47"/>
      <c r="G790" s="47"/>
      <c r="H790" s="84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47"/>
      <c r="U790" s="47"/>
      <c r="V790" s="47"/>
      <c r="W790" s="47"/>
      <c r="X790" s="47"/>
      <c r="Y790" s="47"/>
      <c r="Z790" s="47"/>
    </row>
    <row r="791" spans="1:26" ht="12.75" customHeight="1">
      <c r="A791" s="47"/>
      <c r="B791" s="47"/>
      <c r="C791" s="47"/>
      <c r="D791" s="47"/>
      <c r="E791" s="47"/>
      <c r="F791" s="47"/>
      <c r="G791" s="47"/>
      <c r="H791" s="84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47"/>
      <c r="U791" s="47"/>
      <c r="V791" s="47"/>
      <c r="W791" s="47"/>
      <c r="X791" s="47"/>
      <c r="Y791" s="47"/>
      <c r="Z791" s="47"/>
    </row>
    <row r="792" spans="1:26" ht="12.75" customHeight="1">
      <c r="A792" s="47"/>
      <c r="B792" s="47"/>
      <c r="C792" s="47"/>
      <c r="D792" s="47"/>
      <c r="E792" s="47"/>
      <c r="F792" s="47"/>
      <c r="G792" s="47"/>
      <c r="H792" s="84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47"/>
      <c r="U792" s="47"/>
      <c r="V792" s="47"/>
      <c r="W792" s="47"/>
      <c r="X792" s="47"/>
      <c r="Y792" s="47"/>
      <c r="Z792" s="47"/>
    </row>
    <row r="793" spans="1:26" ht="12.75" customHeight="1">
      <c r="A793" s="47"/>
      <c r="B793" s="47"/>
      <c r="C793" s="47"/>
      <c r="D793" s="47"/>
      <c r="E793" s="47"/>
      <c r="F793" s="47"/>
      <c r="G793" s="47"/>
      <c r="H793" s="84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47"/>
      <c r="U793" s="47"/>
      <c r="V793" s="47"/>
      <c r="W793" s="47"/>
      <c r="X793" s="47"/>
      <c r="Y793" s="47"/>
      <c r="Z793" s="47"/>
    </row>
    <row r="794" spans="1:26" ht="12.75" customHeight="1">
      <c r="A794" s="47"/>
      <c r="B794" s="47"/>
      <c r="C794" s="47"/>
      <c r="D794" s="47"/>
      <c r="E794" s="47"/>
      <c r="F794" s="47"/>
      <c r="G794" s="47"/>
      <c r="H794" s="84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47"/>
      <c r="U794" s="47"/>
      <c r="V794" s="47"/>
      <c r="W794" s="47"/>
      <c r="X794" s="47"/>
      <c r="Y794" s="47"/>
      <c r="Z794" s="47"/>
    </row>
    <row r="795" spans="1:26" ht="12.75" customHeight="1">
      <c r="A795" s="47"/>
      <c r="B795" s="47"/>
      <c r="C795" s="47"/>
      <c r="D795" s="47"/>
      <c r="E795" s="47"/>
      <c r="F795" s="47"/>
      <c r="G795" s="47"/>
      <c r="H795" s="84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47"/>
      <c r="U795" s="47"/>
      <c r="V795" s="47"/>
      <c r="W795" s="47"/>
      <c r="X795" s="47"/>
      <c r="Y795" s="47"/>
      <c r="Z795" s="47"/>
    </row>
    <row r="796" spans="1:26" ht="12.75" customHeight="1">
      <c r="A796" s="47"/>
      <c r="B796" s="47"/>
      <c r="C796" s="47"/>
      <c r="D796" s="47"/>
      <c r="E796" s="47"/>
      <c r="F796" s="47"/>
      <c r="G796" s="47"/>
      <c r="H796" s="84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47"/>
      <c r="U796" s="47"/>
      <c r="V796" s="47"/>
      <c r="W796" s="47"/>
      <c r="X796" s="47"/>
      <c r="Y796" s="47"/>
      <c r="Z796" s="47"/>
    </row>
    <row r="797" spans="1:26" ht="12.75" customHeight="1">
      <c r="A797" s="47"/>
      <c r="B797" s="47"/>
      <c r="C797" s="47"/>
      <c r="D797" s="47"/>
      <c r="E797" s="47"/>
      <c r="F797" s="47"/>
      <c r="G797" s="47"/>
      <c r="H797" s="84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47"/>
      <c r="U797" s="47"/>
      <c r="V797" s="47"/>
      <c r="W797" s="47"/>
      <c r="X797" s="47"/>
      <c r="Y797" s="47"/>
      <c r="Z797" s="47"/>
    </row>
    <row r="798" spans="1:26" ht="12.75" customHeight="1">
      <c r="A798" s="47"/>
      <c r="B798" s="47"/>
      <c r="C798" s="47"/>
      <c r="D798" s="47"/>
      <c r="E798" s="47"/>
      <c r="F798" s="47"/>
      <c r="G798" s="47"/>
      <c r="H798" s="84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47"/>
      <c r="U798" s="47"/>
      <c r="V798" s="47"/>
      <c r="W798" s="47"/>
      <c r="X798" s="47"/>
      <c r="Y798" s="47"/>
      <c r="Z798" s="47"/>
    </row>
    <row r="799" spans="1:26" ht="12.75" customHeight="1">
      <c r="A799" s="47"/>
      <c r="B799" s="47"/>
      <c r="C799" s="47"/>
      <c r="D799" s="47"/>
      <c r="E799" s="47"/>
      <c r="F799" s="47"/>
      <c r="G799" s="47"/>
      <c r="H799" s="84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47"/>
      <c r="U799" s="47"/>
      <c r="V799" s="47"/>
      <c r="W799" s="47"/>
      <c r="X799" s="47"/>
      <c r="Y799" s="47"/>
      <c r="Z799" s="47"/>
    </row>
    <row r="800" spans="1:26" ht="12.75" customHeight="1">
      <c r="A800" s="47"/>
      <c r="B800" s="47"/>
      <c r="C800" s="47"/>
      <c r="D800" s="47"/>
      <c r="E800" s="47"/>
      <c r="F800" s="47"/>
      <c r="G800" s="47"/>
      <c r="H800" s="84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47"/>
      <c r="U800" s="47"/>
      <c r="V800" s="47"/>
      <c r="W800" s="47"/>
      <c r="X800" s="47"/>
      <c r="Y800" s="47"/>
      <c r="Z800" s="47"/>
    </row>
    <row r="801" spans="1:26" ht="12.75" customHeight="1">
      <c r="A801" s="47"/>
      <c r="B801" s="47"/>
      <c r="C801" s="47"/>
      <c r="D801" s="47"/>
      <c r="E801" s="47"/>
      <c r="F801" s="47"/>
      <c r="G801" s="47"/>
      <c r="H801" s="84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47"/>
      <c r="U801" s="47"/>
      <c r="V801" s="47"/>
      <c r="W801" s="47"/>
      <c r="X801" s="47"/>
      <c r="Y801" s="47"/>
      <c r="Z801" s="47"/>
    </row>
    <row r="802" spans="1:26" ht="12.75" customHeight="1">
      <c r="A802" s="47"/>
      <c r="B802" s="47"/>
      <c r="C802" s="47"/>
      <c r="D802" s="47"/>
      <c r="E802" s="47"/>
      <c r="F802" s="47"/>
      <c r="G802" s="47"/>
      <c r="H802" s="84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47"/>
      <c r="U802" s="47"/>
      <c r="V802" s="47"/>
      <c r="W802" s="47"/>
      <c r="X802" s="47"/>
      <c r="Y802" s="47"/>
      <c r="Z802" s="47"/>
    </row>
    <row r="803" spans="1:26" ht="12.75" customHeight="1">
      <c r="A803" s="47"/>
      <c r="B803" s="47"/>
      <c r="C803" s="47"/>
      <c r="D803" s="47"/>
      <c r="E803" s="47"/>
      <c r="F803" s="47"/>
      <c r="G803" s="47"/>
      <c r="H803" s="84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47"/>
      <c r="U803" s="47"/>
      <c r="V803" s="47"/>
      <c r="W803" s="47"/>
      <c r="X803" s="47"/>
      <c r="Y803" s="47"/>
      <c r="Z803" s="47"/>
    </row>
    <row r="804" spans="1:26" ht="12.75" customHeight="1">
      <c r="A804" s="47"/>
      <c r="B804" s="47"/>
      <c r="C804" s="47"/>
      <c r="D804" s="47"/>
      <c r="E804" s="47"/>
      <c r="F804" s="47"/>
      <c r="G804" s="47"/>
      <c r="H804" s="84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47"/>
      <c r="U804" s="47"/>
      <c r="V804" s="47"/>
      <c r="W804" s="47"/>
      <c r="X804" s="47"/>
      <c r="Y804" s="47"/>
      <c r="Z804" s="47"/>
    </row>
    <row r="805" spans="1:26" ht="12.75" customHeight="1">
      <c r="A805" s="47"/>
      <c r="B805" s="47"/>
      <c r="C805" s="47"/>
      <c r="D805" s="47"/>
      <c r="E805" s="47"/>
      <c r="F805" s="47"/>
      <c r="G805" s="47"/>
      <c r="H805" s="84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47"/>
      <c r="U805" s="47"/>
      <c r="V805" s="47"/>
      <c r="W805" s="47"/>
      <c r="X805" s="47"/>
      <c r="Y805" s="47"/>
      <c r="Z805" s="47"/>
    </row>
    <row r="806" spans="1:26" ht="12.75" customHeight="1">
      <c r="A806" s="47"/>
      <c r="B806" s="47"/>
      <c r="C806" s="47"/>
      <c r="D806" s="47"/>
      <c r="E806" s="47"/>
      <c r="F806" s="47"/>
      <c r="G806" s="47"/>
      <c r="H806" s="84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47"/>
      <c r="U806" s="47"/>
      <c r="V806" s="47"/>
      <c r="W806" s="47"/>
      <c r="X806" s="47"/>
      <c r="Y806" s="47"/>
      <c r="Z806" s="47"/>
    </row>
    <row r="807" spans="1:26" ht="12.75" customHeight="1">
      <c r="A807" s="47"/>
      <c r="B807" s="47"/>
      <c r="C807" s="47"/>
      <c r="D807" s="47"/>
      <c r="E807" s="47"/>
      <c r="F807" s="47"/>
      <c r="G807" s="47"/>
      <c r="H807" s="84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47"/>
      <c r="U807" s="47"/>
      <c r="V807" s="47"/>
      <c r="W807" s="47"/>
      <c r="X807" s="47"/>
      <c r="Y807" s="47"/>
      <c r="Z807" s="47"/>
    </row>
    <row r="808" spans="1:26" ht="12.75" customHeight="1">
      <c r="A808" s="47"/>
      <c r="B808" s="47"/>
      <c r="C808" s="47"/>
      <c r="D808" s="47"/>
      <c r="E808" s="47"/>
      <c r="F808" s="47"/>
      <c r="G808" s="47"/>
      <c r="H808" s="84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47"/>
      <c r="U808" s="47"/>
      <c r="V808" s="47"/>
      <c r="W808" s="47"/>
      <c r="X808" s="47"/>
      <c r="Y808" s="47"/>
      <c r="Z808" s="47"/>
    </row>
    <row r="809" spans="1:26" ht="12.75" customHeight="1">
      <c r="A809" s="47"/>
      <c r="B809" s="47"/>
      <c r="C809" s="47"/>
      <c r="D809" s="47"/>
      <c r="E809" s="47"/>
      <c r="F809" s="47"/>
      <c r="G809" s="47"/>
      <c r="H809" s="84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47"/>
      <c r="U809" s="47"/>
      <c r="V809" s="47"/>
      <c r="W809" s="47"/>
      <c r="X809" s="47"/>
      <c r="Y809" s="47"/>
      <c r="Z809" s="47"/>
    </row>
    <row r="810" spans="1:26" ht="12.75" customHeight="1">
      <c r="A810" s="47"/>
      <c r="B810" s="47"/>
      <c r="C810" s="47"/>
      <c r="D810" s="47"/>
      <c r="E810" s="47"/>
      <c r="F810" s="47"/>
      <c r="G810" s="47"/>
      <c r="H810" s="84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47"/>
      <c r="U810" s="47"/>
      <c r="V810" s="47"/>
      <c r="W810" s="47"/>
      <c r="X810" s="47"/>
      <c r="Y810" s="47"/>
      <c r="Z810" s="47"/>
    </row>
    <row r="811" spans="1:26" ht="12.75" customHeight="1">
      <c r="A811" s="47"/>
      <c r="B811" s="47"/>
      <c r="C811" s="47"/>
      <c r="D811" s="47"/>
      <c r="E811" s="47"/>
      <c r="F811" s="47"/>
      <c r="G811" s="47"/>
      <c r="H811" s="84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47"/>
      <c r="U811" s="47"/>
      <c r="V811" s="47"/>
      <c r="W811" s="47"/>
      <c r="X811" s="47"/>
      <c r="Y811" s="47"/>
      <c r="Z811" s="47"/>
    </row>
    <row r="812" spans="1:26" ht="12.75" customHeight="1">
      <c r="A812" s="47"/>
      <c r="B812" s="47"/>
      <c r="C812" s="47"/>
      <c r="D812" s="47"/>
      <c r="E812" s="47"/>
      <c r="F812" s="47"/>
      <c r="G812" s="47"/>
      <c r="H812" s="84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47"/>
      <c r="U812" s="47"/>
      <c r="V812" s="47"/>
      <c r="W812" s="47"/>
      <c r="X812" s="47"/>
      <c r="Y812" s="47"/>
      <c r="Z812" s="47"/>
    </row>
    <row r="813" spans="1:26" ht="12.75" customHeight="1">
      <c r="A813" s="47"/>
      <c r="B813" s="47"/>
      <c r="C813" s="47"/>
      <c r="D813" s="47"/>
      <c r="E813" s="47"/>
      <c r="F813" s="47"/>
      <c r="G813" s="47"/>
      <c r="H813" s="84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47"/>
      <c r="U813" s="47"/>
      <c r="V813" s="47"/>
      <c r="W813" s="47"/>
      <c r="X813" s="47"/>
      <c r="Y813" s="47"/>
      <c r="Z813" s="47"/>
    </row>
    <row r="814" spans="1:26" ht="12.75" customHeight="1">
      <c r="A814" s="47"/>
      <c r="B814" s="47"/>
      <c r="C814" s="47"/>
      <c r="D814" s="47"/>
      <c r="E814" s="47"/>
      <c r="F814" s="47"/>
      <c r="G814" s="47"/>
      <c r="H814" s="84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47"/>
      <c r="U814" s="47"/>
      <c r="V814" s="47"/>
      <c r="W814" s="47"/>
      <c r="X814" s="47"/>
      <c r="Y814" s="47"/>
      <c r="Z814" s="47"/>
    </row>
    <row r="815" spans="1:26" ht="12.75" customHeight="1">
      <c r="A815" s="47"/>
      <c r="B815" s="47"/>
      <c r="C815" s="47"/>
      <c r="D815" s="47"/>
      <c r="E815" s="47"/>
      <c r="F815" s="47"/>
      <c r="G815" s="47"/>
      <c r="H815" s="84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47"/>
      <c r="U815" s="47"/>
      <c r="V815" s="47"/>
      <c r="W815" s="47"/>
      <c r="X815" s="47"/>
      <c r="Y815" s="47"/>
      <c r="Z815" s="47"/>
    </row>
    <row r="816" spans="1:26" ht="12.75" customHeight="1">
      <c r="A816" s="47"/>
      <c r="B816" s="47"/>
      <c r="C816" s="47"/>
      <c r="D816" s="47"/>
      <c r="E816" s="47"/>
      <c r="F816" s="47"/>
      <c r="G816" s="47"/>
      <c r="H816" s="84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47"/>
      <c r="U816" s="47"/>
      <c r="V816" s="47"/>
      <c r="W816" s="47"/>
      <c r="X816" s="47"/>
      <c r="Y816" s="47"/>
      <c r="Z816" s="47"/>
    </row>
    <row r="817" spans="1:26" ht="12.75" customHeight="1">
      <c r="A817" s="47"/>
      <c r="B817" s="47"/>
      <c r="C817" s="47"/>
      <c r="D817" s="47"/>
      <c r="E817" s="47"/>
      <c r="F817" s="47"/>
      <c r="G817" s="47"/>
      <c r="H817" s="84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47"/>
      <c r="U817" s="47"/>
      <c r="V817" s="47"/>
      <c r="W817" s="47"/>
      <c r="X817" s="47"/>
      <c r="Y817" s="47"/>
      <c r="Z817" s="47"/>
    </row>
    <row r="818" spans="1:26" ht="12.75" customHeight="1">
      <c r="A818" s="47"/>
      <c r="B818" s="47"/>
      <c r="C818" s="47"/>
      <c r="D818" s="47"/>
      <c r="E818" s="47"/>
      <c r="F818" s="47"/>
      <c r="G818" s="47"/>
      <c r="H818" s="84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47"/>
      <c r="U818" s="47"/>
      <c r="V818" s="47"/>
      <c r="W818" s="47"/>
      <c r="X818" s="47"/>
      <c r="Y818" s="47"/>
      <c r="Z818" s="47"/>
    </row>
    <row r="819" spans="1:26" ht="12.75" customHeight="1">
      <c r="A819" s="47"/>
      <c r="B819" s="47"/>
      <c r="C819" s="47"/>
      <c r="D819" s="47"/>
      <c r="E819" s="47"/>
      <c r="F819" s="47"/>
      <c r="G819" s="47"/>
      <c r="H819" s="84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47"/>
      <c r="U819" s="47"/>
      <c r="V819" s="47"/>
      <c r="W819" s="47"/>
      <c r="X819" s="47"/>
      <c r="Y819" s="47"/>
      <c r="Z819" s="47"/>
    </row>
    <row r="820" spans="1:26" ht="12.75" customHeight="1">
      <c r="A820" s="47"/>
      <c r="B820" s="47"/>
      <c r="C820" s="47"/>
      <c r="D820" s="47"/>
      <c r="E820" s="47"/>
      <c r="F820" s="47"/>
      <c r="G820" s="47"/>
      <c r="H820" s="84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47"/>
      <c r="U820" s="47"/>
      <c r="V820" s="47"/>
      <c r="W820" s="47"/>
      <c r="X820" s="47"/>
      <c r="Y820" s="47"/>
      <c r="Z820" s="47"/>
    </row>
    <row r="821" spans="1:26" ht="12.75" customHeight="1">
      <c r="A821" s="47"/>
      <c r="B821" s="47"/>
      <c r="C821" s="47"/>
      <c r="D821" s="47"/>
      <c r="E821" s="47"/>
      <c r="F821" s="47"/>
      <c r="G821" s="47"/>
      <c r="H821" s="84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47"/>
      <c r="U821" s="47"/>
      <c r="V821" s="47"/>
      <c r="W821" s="47"/>
      <c r="X821" s="47"/>
      <c r="Y821" s="47"/>
      <c r="Z821" s="47"/>
    </row>
    <row r="822" spans="1:26" ht="12.75" customHeight="1">
      <c r="A822" s="47"/>
      <c r="B822" s="47"/>
      <c r="C822" s="47"/>
      <c r="D822" s="47"/>
      <c r="E822" s="47"/>
      <c r="F822" s="47"/>
      <c r="G822" s="47"/>
      <c r="H822" s="84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47"/>
      <c r="U822" s="47"/>
      <c r="V822" s="47"/>
      <c r="W822" s="47"/>
      <c r="X822" s="47"/>
      <c r="Y822" s="47"/>
      <c r="Z822" s="47"/>
    </row>
    <row r="823" spans="1:26" ht="12.75" customHeight="1">
      <c r="A823" s="47"/>
      <c r="B823" s="47"/>
      <c r="C823" s="47"/>
      <c r="D823" s="47"/>
      <c r="E823" s="47"/>
      <c r="F823" s="47"/>
      <c r="G823" s="47"/>
      <c r="H823" s="84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47"/>
      <c r="U823" s="47"/>
      <c r="V823" s="47"/>
      <c r="W823" s="47"/>
      <c r="X823" s="47"/>
      <c r="Y823" s="47"/>
      <c r="Z823" s="47"/>
    </row>
    <row r="824" spans="1:26" ht="12.75" customHeight="1">
      <c r="A824" s="47"/>
      <c r="B824" s="47"/>
      <c r="C824" s="47"/>
      <c r="D824" s="47"/>
      <c r="E824" s="47"/>
      <c r="F824" s="47"/>
      <c r="G824" s="47"/>
      <c r="H824" s="84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47"/>
      <c r="U824" s="47"/>
      <c r="V824" s="47"/>
      <c r="W824" s="47"/>
      <c r="X824" s="47"/>
      <c r="Y824" s="47"/>
      <c r="Z824" s="47"/>
    </row>
    <row r="825" spans="1:26" ht="12.75" customHeight="1">
      <c r="A825" s="47"/>
      <c r="B825" s="47"/>
      <c r="C825" s="47"/>
      <c r="D825" s="47"/>
      <c r="E825" s="47"/>
      <c r="F825" s="47"/>
      <c r="G825" s="47"/>
      <c r="H825" s="84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47"/>
      <c r="U825" s="47"/>
      <c r="V825" s="47"/>
      <c r="W825" s="47"/>
      <c r="X825" s="47"/>
      <c r="Y825" s="47"/>
      <c r="Z825" s="47"/>
    </row>
    <row r="826" spans="1:26" ht="12.75" customHeight="1">
      <c r="A826" s="47"/>
      <c r="B826" s="47"/>
      <c r="C826" s="47"/>
      <c r="D826" s="47"/>
      <c r="E826" s="47"/>
      <c r="F826" s="47"/>
      <c r="G826" s="47"/>
      <c r="H826" s="84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47"/>
      <c r="U826" s="47"/>
      <c r="V826" s="47"/>
      <c r="W826" s="47"/>
      <c r="X826" s="47"/>
      <c r="Y826" s="47"/>
      <c r="Z826" s="47"/>
    </row>
    <row r="827" spans="1:26" ht="12.75" customHeight="1">
      <c r="A827" s="47"/>
      <c r="B827" s="47"/>
      <c r="C827" s="47"/>
      <c r="D827" s="47"/>
      <c r="E827" s="47"/>
      <c r="F827" s="47"/>
      <c r="G827" s="47"/>
      <c r="H827" s="84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47"/>
      <c r="U827" s="47"/>
      <c r="V827" s="47"/>
      <c r="W827" s="47"/>
      <c r="X827" s="47"/>
      <c r="Y827" s="47"/>
      <c r="Z827" s="47"/>
    </row>
    <row r="828" spans="1:26" ht="12.75" customHeight="1">
      <c r="A828" s="47"/>
      <c r="B828" s="47"/>
      <c r="C828" s="47"/>
      <c r="D828" s="47"/>
      <c r="E828" s="47"/>
      <c r="F828" s="47"/>
      <c r="G828" s="47"/>
      <c r="H828" s="84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47"/>
      <c r="U828" s="47"/>
      <c r="V828" s="47"/>
      <c r="W828" s="47"/>
      <c r="X828" s="47"/>
      <c r="Y828" s="47"/>
      <c r="Z828" s="47"/>
    </row>
    <row r="829" spans="1:26" ht="12.75" customHeight="1">
      <c r="A829" s="47"/>
      <c r="B829" s="47"/>
      <c r="C829" s="47"/>
      <c r="D829" s="47"/>
      <c r="E829" s="47"/>
      <c r="F829" s="47"/>
      <c r="G829" s="47"/>
      <c r="H829" s="84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47"/>
      <c r="U829" s="47"/>
      <c r="V829" s="47"/>
      <c r="W829" s="47"/>
      <c r="X829" s="47"/>
      <c r="Y829" s="47"/>
      <c r="Z829" s="47"/>
    </row>
    <row r="830" spans="1:26" ht="12.75" customHeight="1">
      <c r="A830" s="47"/>
      <c r="B830" s="47"/>
      <c r="C830" s="47"/>
      <c r="D830" s="47"/>
      <c r="E830" s="47"/>
      <c r="F830" s="47"/>
      <c r="G830" s="47"/>
      <c r="H830" s="84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47"/>
      <c r="U830" s="47"/>
      <c r="V830" s="47"/>
      <c r="W830" s="47"/>
      <c r="X830" s="47"/>
      <c r="Y830" s="47"/>
      <c r="Z830" s="47"/>
    </row>
    <row r="831" spans="1:26" ht="12.75" customHeight="1">
      <c r="A831" s="47"/>
      <c r="B831" s="47"/>
      <c r="C831" s="47"/>
      <c r="D831" s="47"/>
      <c r="E831" s="47"/>
      <c r="F831" s="47"/>
      <c r="G831" s="47"/>
      <c r="H831" s="84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47"/>
      <c r="U831" s="47"/>
      <c r="V831" s="47"/>
      <c r="W831" s="47"/>
      <c r="X831" s="47"/>
      <c r="Y831" s="47"/>
      <c r="Z831" s="47"/>
    </row>
    <row r="832" spans="1:26" ht="12.75" customHeight="1">
      <c r="A832" s="47"/>
      <c r="B832" s="47"/>
      <c r="C832" s="47"/>
      <c r="D832" s="47"/>
      <c r="E832" s="47"/>
      <c r="F832" s="47"/>
      <c r="G832" s="47"/>
      <c r="H832" s="84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47"/>
      <c r="U832" s="47"/>
      <c r="V832" s="47"/>
      <c r="W832" s="47"/>
      <c r="X832" s="47"/>
      <c r="Y832" s="47"/>
      <c r="Z832" s="47"/>
    </row>
    <row r="833" spans="1:26" ht="12.75" customHeight="1">
      <c r="A833" s="47"/>
      <c r="B833" s="47"/>
      <c r="C833" s="47"/>
      <c r="D833" s="47"/>
      <c r="E833" s="47"/>
      <c r="F833" s="47"/>
      <c r="G833" s="47"/>
      <c r="H833" s="84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47"/>
      <c r="U833" s="47"/>
      <c r="V833" s="47"/>
      <c r="W833" s="47"/>
      <c r="X833" s="47"/>
      <c r="Y833" s="47"/>
      <c r="Z833" s="47"/>
    </row>
    <row r="834" spans="1:26" ht="12.75" customHeight="1">
      <c r="A834" s="47"/>
      <c r="B834" s="47"/>
      <c r="C834" s="47"/>
      <c r="D834" s="47"/>
      <c r="E834" s="47"/>
      <c r="F834" s="47"/>
      <c r="G834" s="47"/>
      <c r="H834" s="84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47"/>
      <c r="U834" s="47"/>
      <c r="V834" s="47"/>
      <c r="W834" s="47"/>
      <c r="X834" s="47"/>
      <c r="Y834" s="47"/>
      <c r="Z834" s="47"/>
    </row>
    <row r="835" spans="1:26" ht="12.75" customHeight="1">
      <c r="A835" s="47"/>
      <c r="B835" s="47"/>
      <c r="C835" s="47"/>
      <c r="D835" s="47"/>
      <c r="E835" s="47"/>
      <c r="F835" s="47"/>
      <c r="G835" s="47"/>
      <c r="H835" s="84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47"/>
      <c r="U835" s="47"/>
      <c r="V835" s="47"/>
      <c r="W835" s="47"/>
      <c r="X835" s="47"/>
      <c r="Y835" s="47"/>
      <c r="Z835" s="47"/>
    </row>
    <row r="836" spans="1:26" ht="12.75" customHeight="1">
      <c r="A836" s="47"/>
      <c r="B836" s="47"/>
      <c r="C836" s="47"/>
      <c r="D836" s="47"/>
      <c r="E836" s="47"/>
      <c r="F836" s="47"/>
      <c r="G836" s="47"/>
      <c r="H836" s="84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47"/>
      <c r="U836" s="47"/>
      <c r="V836" s="47"/>
      <c r="W836" s="47"/>
      <c r="X836" s="47"/>
      <c r="Y836" s="47"/>
      <c r="Z836" s="47"/>
    </row>
    <row r="837" spans="1:26" ht="12.75" customHeight="1">
      <c r="A837" s="47"/>
      <c r="B837" s="47"/>
      <c r="C837" s="47"/>
      <c r="D837" s="47"/>
      <c r="E837" s="47"/>
      <c r="F837" s="47"/>
      <c r="G837" s="47"/>
      <c r="H837" s="84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47"/>
      <c r="U837" s="47"/>
      <c r="V837" s="47"/>
      <c r="W837" s="47"/>
      <c r="X837" s="47"/>
      <c r="Y837" s="47"/>
      <c r="Z837" s="47"/>
    </row>
    <row r="838" spans="1:26" ht="12.75" customHeight="1">
      <c r="A838" s="47"/>
      <c r="B838" s="47"/>
      <c r="C838" s="47"/>
      <c r="D838" s="47"/>
      <c r="E838" s="47"/>
      <c r="F838" s="47"/>
      <c r="G838" s="47"/>
      <c r="H838" s="84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47"/>
      <c r="U838" s="47"/>
      <c r="V838" s="47"/>
      <c r="W838" s="47"/>
      <c r="X838" s="47"/>
      <c r="Y838" s="47"/>
      <c r="Z838" s="47"/>
    </row>
    <row r="839" spans="1:26" ht="12.75" customHeight="1">
      <c r="A839" s="47"/>
      <c r="B839" s="47"/>
      <c r="C839" s="47"/>
      <c r="D839" s="47"/>
      <c r="E839" s="47"/>
      <c r="F839" s="47"/>
      <c r="G839" s="47"/>
      <c r="H839" s="84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47"/>
      <c r="U839" s="47"/>
      <c r="V839" s="47"/>
      <c r="W839" s="47"/>
      <c r="X839" s="47"/>
      <c r="Y839" s="47"/>
      <c r="Z839" s="47"/>
    </row>
    <row r="840" spans="1:26" ht="12.75" customHeight="1">
      <c r="A840" s="47"/>
      <c r="B840" s="47"/>
      <c r="C840" s="47"/>
      <c r="D840" s="47"/>
      <c r="E840" s="47"/>
      <c r="F840" s="47"/>
      <c r="G840" s="47"/>
      <c r="H840" s="84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47"/>
      <c r="U840" s="47"/>
      <c r="V840" s="47"/>
      <c r="W840" s="47"/>
      <c r="X840" s="47"/>
      <c r="Y840" s="47"/>
      <c r="Z840" s="47"/>
    </row>
    <row r="841" spans="1:26" ht="12.75" customHeight="1">
      <c r="A841" s="47"/>
      <c r="B841" s="47"/>
      <c r="C841" s="47"/>
      <c r="D841" s="47"/>
      <c r="E841" s="47"/>
      <c r="F841" s="47"/>
      <c r="G841" s="47"/>
      <c r="H841" s="84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47"/>
      <c r="U841" s="47"/>
      <c r="V841" s="47"/>
      <c r="W841" s="47"/>
      <c r="X841" s="47"/>
      <c r="Y841" s="47"/>
      <c r="Z841" s="47"/>
    </row>
    <row r="842" spans="1:26" ht="12.75" customHeight="1">
      <c r="A842" s="47"/>
      <c r="B842" s="47"/>
      <c r="C842" s="47"/>
      <c r="D842" s="47"/>
      <c r="E842" s="47"/>
      <c r="F842" s="47"/>
      <c r="G842" s="47"/>
      <c r="H842" s="84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47"/>
      <c r="U842" s="47"/>
      <c r="V842" s="47"/>
      <c r="W842" s="47"/>
      <c r="X842" s="47"/>
      <c r="Y842" s="47"/>
      <c r="Z842" s="47"/>
    </row>
    <row r="843" spans="1:26" ht="12.75" customHeight="1">
      <c r="A843" s="47"/>
      <c r="B843" s="47"/>
      <c r="C843" s="47"/>
      <c r="D843" s="47"/>
      <c r="E843" s="47"/>
      <c r="F843" s="47"/>
      <c r="G843" s="47"/>
      <c r="H843" s="84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47"/>
      <c r="U843" s="47"/>
      <c r="V843" s="47"/>
      <c r="W843" s="47"/>
      <c r="X843" s="47"/>
      <c r="Y843" s="47"/>
      <c r="Z843" s="47"/>
    </row>
    <row r="844" spans="1:26" ht="12.75" customHeight="1">
      <c r="A844" s="47"/>
      <c r="B844" s="47"/>
      <c r="C844" s="47"/>
      <c r="D844" s="47"/>
      <c r="E844" s="47"/>
      <c r="F844" s="47"/>
      <c r="G844" s="47"/>
      <c r="H844" s="84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47"/>
      <c r="U844" s="47"/>
      <c r="V844" s="47"/>
      <c r="W844" s="47"/>
      <c r="X844" s="47"/>
      <c r="Y844" s="47"/>
      <c r="Z844" s="47"/>
    </row>
    <row r="845" spans="1:26" ht="12.75" customHeight="1">
      <c r="A845" s="47"/>
      <c r="B845" s="47"/>
      <c r="C845" s="47"/>
      <c r="D845" s="47"/>
      <c r="E845" s="47"/>
      <c r="F845" s="47"/>
      <c r="G845" s="47"/>
      <c r="H845" s="84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47"/>
      <c r="U845" s="47"/>
      <c r="V845" s="47"/>
      <c r="W845" s="47"/>
      <c r="X845" s="47"/>
      <c r="Y845" s="47"/>
      <c r="Z845" s="47"/>
    </row>
    <row r="846" spans="1:26" ht="12.75" customHeight="1">
      <c r="A846" s="47"/>
      <c r="B846" s="47"/>
      <c r="C846" s="47"/>
      <c r="D846" s="47"/>
      <c r="E846" s="47"/>
      <c r="F846" s="47"/>
      <c r="G846" s="47"/>
      <c r="H846" s="84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47"/>
      <c r="U846" s="47"/>
      <c r="V846" s="47"/>
      <c r="W846" s="47"/>
      <c r="X846" s="47"/>
      <c r="Y846" s="47"/>
      <c r="Z846" s="47"/>
    </row>
    <row r="847" spans="1:26" ht="12.75" customHeight="1">
      <c r="A847" s="47"/>
      <c r="B847" s="47"/>
      <c r="C847" s="47"/>
      <c r="D847" s="47"/>
      <c r="E847" s="47"/>
      <c r="F847" s="47"/>
      <c r="G847" s="47"/>
      <c r="H847" s="84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47"/>
      <c r="U847" s="47"/>
      <c r="V847" s="47"/>
      <c r="W847" s="47"/>
      <c r="X847" s="47"/>
      <c r="Y847" s="47"/>
      <c r="Z847" s="47"/>
    </row>
    <row r="848" spans="1:26" ht="12.75" customHeight="1">
      <c r="A848" s="47"/>
      <c r="B848" s="47"/>
      <c r="C848" s="47"/>
      <c r="D848" s="47"/>
      <c r="E848" s="47"/>
      <c r="F848" s="47"/>
      <c r="G848" s="47"/>
      <c r="H848" s="84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47"/>
      <c r="U848" s="47"/>
      <c r="V848" s="47"/>
      <c r="W848" s="47"/>
      <c r="X848" s="47"/>
      <c r="Y848" s="47"/>
      <c r="Z848" s="47"/>
    </row>
    <row r="849" spans="1:26" ht="12.75" customHeight="1">
      <c r="A849" s="47"/>
      <c r="B849" s="47"/>
      <c r="C849" s="47"/>
      <c r="D849" s="47"/>
      <c r="E849" s="47"/>
      <c r="F849" s="47"/>
      <c r="G849" s="47"/>
      <c r="H849" s="84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47"/>
      <c r="U849" s="47"/>
      <c r="V849" s="47"/>
      <c r="W849" s="47"/>
      <c r="X849" s="47"/>
      <c r="Y849" s="47"/>
      <c r="Z849" s="47"/>
    </row>
    <row r="850" spans="1:26" ht="12.75" customHeight="1">
      <c r="A850" s="47"/>
      <c r="B850" s="47"/>
      <c r="C850" s="47"/>
      <c r="D850" s="47"/>
      <c r="E850" s="47"/>
      <c r="F850" s="47"/>
      <c r="G850" s="47"/>
      <c r="H850" s="84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47"/>
      <c r="U850" s="47"/>
      <c r="V850" s="47"/>
      <c r="W850" s="47"/>
      <c r="X850" s="47"/>
      <c r="Y850" s="47"/>
      <c r="Z850" s="47"/>
    </row>
    <row r="851" spans="1:26" ht="12.75" customHeight="1">
      <c r="A851" s="47"/>
      <c r="B851" s="47"/>
      <c r="C851" s="47"/>
      <c r="D851" s="47"/>
      <c r="E851" s="47"/>
      <c r="F851" s="47"/>
      <c r="G851" s="47"/>
      <c r="H851" s="84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47"/>
      <c r="U851" s="47"/>
      <c r="V851" s="47"/>
      <c r="W851" s="47"/>
      <c r="X851" s="47"/>
      <c r="Y851" s="47"/>
      <c r="Z851" s="47"/>
    </row>
    <row r="852" spans="1:26" ht="12.75" customHeight="1">
      <c r="A852" s="47"/>
      <c r="B852" s="47"/>
      <c r="C852" s="47"/>
      <c r="D852" s="47"/>
      <c r="E852" s="47"/>
      <c r="F852" s="47"/>
      <c r="G852" s="47"/>
      <c r="H852" s="84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47"/>
      <c r="U852" s="47"/>
      <c r="V852" s="47"/>
      <c r="W852" s="47"/>
      <c r="X852" s="47"/>
      <c r="Y852" s="47"/>
      <c r="Z852" s="47"/>
    </row>
    <row r="853" spans="1:26" ht="12.75" customHeight="1">
      <c r="A853" s="47"/>
      <c r="B853" s="47"/>
      <c r="C853" s="47"/>
      <c r="D853" s="47"/>
      <c r="E853" s="47"/>
      <c r="F853" s="47"/>
      <c r="G853" s="47"/>
      <c r="H853" s="84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47"/>
      <c r="U853" s="47"/>
      <c r="V853" s="47"/>
      <c r="W853" s="47"/>
      <c r="X853" s="47"/>
      <c r="Y853" s="47"/>
      <c r="Z853" s="47"/>
    </row>
    <row r="854" spans="1:26" ht="12.75" customHeight="1">
      <c r="A854" s="47"/>
      <c r="B854" s="47"/>
      <c r="C854" s="47"/>
      <c r="D854" s="47"/>
      <c r="E854" s="47"/>
      <c r="F854" s="47"/>
      <c r="G854" s="47"/>
      <c r="H854" s="84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47"/>
      <c r="U854" s="47"/>
      <c r="V854" s="47"/>
      <c r="W854" s="47"/>
      <c r="X854" s="47"/>
      <c r="Y854" s="47"/>
      <c r="Z854" s="47"/>
    </row>
    <row r="855" spans="1:26" ht="12.75" customHeight="1">
      <c r="A855" s="47"/>
      <c r="B855" s="47"/>
      <c r="C855" s="47"/>
      <c r="D855" s="47"/>
      <c r="E855" s="47"/>
      <c r="F855" s="47"/>
      <c r="G855" s="47"/>
      <c r="H855" s="84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47"/>
      <c r="U855" s="47"/>
      <c r="V855" s="47"/>
      <c r="W855" s="47"/>
      <c r="X855" s="47"/>
      <c r="Y855" s="47"/>
      <c r="Z855" s="47"/>
    </row>
    <row r="856" spans="1:26" ht="12.75" customHeight="1">
      <c r="A856" s="47"/>
      <c r="B856" s="47"/>
      <c r="C856" s="47"/>
      <c r="D856" s="47"/>
      <c r="E856" s="47"/>
      <c r="F856" s="47"/>
      <c r="G856" s="47"/>
      <c r="H856" s="84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47"/>
      <c r="U856" s="47"/>
      <c r="V856" s="47"/>
      <c r="W856" s="47"/>
      <c r="X856" s="47"/>
      <c r="Y856" s="47"/>
      <c r="Z856" s="47"/>
    </row>
    <row r="857" spans="1:26" ht="12.75" customHeight="1">
      <c r="A857" s="47"/>
      <c r="B857" s="47"/>
      <c r="C857" s="47"/>
      <c r="D857" s="47"/>
      <c r="E857" s="47"/>
      <c r="F857" s="47"/>
      <c r="G857" s="47"/>
      <c r="H857" s="84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47"/>
      <c r="U857" s="47"/>
      <c r="V857" s="47"/>
      <c r="W857" s="47"/>
      <c r="X857" s="47"/>
      <c r="Y857" s="47"/>
      <c r="Z857" s="47"/>
    </row>
    <row r="858" spans="1:26" ht="12.75" customHeight="1">
      <c r="A858" s="47"/>
      <c r="B858" s="47"/>
      <c r="C858" s="47"/>
      <c r="D858" s="47"/>
      <c r="E858" s="47"/>
      <c r="F858" s="47"/>
      <c r="G858" s="47"/>
      <c r="H858" s="84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47"/>
      <c r="U858" s="47"/>
      <c r="V858" s="47"/>
      <c r="W858" s="47"/>
      <c r="X858" s="47"/>
      <c r="Y858" s="47"/>
      <c r="Z858" s="47"/>
    </row>
    <row r="859" spans="1:26" ht="12.75" customHeight="1">
      <c r="A859" s="47"/>
      <c r="B859" s="47"/>
      <c r="C859" s="47"/>
      <c r="D859" s="47"/>
      <c r="E859" s="47"/>
      <c r="F859" s="47"/>
      <c r="G859" s="47"/>
      <c r="H859" s="84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47"/>
      <c r="U859" s="47"/>
      <c r="V859" s="47"/>
      <c r="W859" s="47"/>
      <c r="X859" s="47"/>
      <c r="Y859" s="47"/>
      <c r="Z859" s="47"/>
    </row>
    <row r="860" spans="1:26" ht="12.75" customHeight="1">
      <c r="A860" s="47"/>
      <c r="B860" s="47"/>
      <c r="C860" s="47"/>
      <c r="D860" s="47"/>
      <c r="E860" s="47"/>
      <c r="F860" s="47"/>
      <c r="G860" s="47"/>
      <c r="H860" s="84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47"/>
      <c r="U860" s="47"/>
      <c r="V860" s="47"/>
      <c r="W860" s="47"/>
      <c r="X860" s="47"/>
      <c r="Y860" s="47"/>
      <c r="Z860" s="47"/>
    </row>
    <row r="861" spans="1:26" ht="12.75" customHeight="1">
      <c r="A861" s="47"/>
      <c r="B861" s="47"/>
      <c r="C861" s="47"/>
      <c r="D861" s="47"/>
      <c r="E861" s="47"/>
      <c r="F861" s="47"/>
      <c r="G861" s="47"/>
      <c r="H861" s="84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47"/>
      <c r="U861" s="47"/>
      <c r="V861" s="47"/>
      <c r="W861" s="47"/>
      <c r="X861" s="47"/>
      <c r="Y861" s="47"/>
      <c r="Z861" s="47"/>
    </row>
    <row r="862" spans="1:26" ht="12.75" customHeight="1">
      <c r="A862" s="47"/>
      <c r="B862" s="47"/>
      <c r="C862" s="47"/>
      <c r="D862" s="47"/>
      <c r="E862" s="47"/>
      <c r="F862" s="47"/>
      <c r="G862" s="47"/>
      <c r="H862" s="84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47"/>
      <c r="U862" s="47"/>
      <c r="V862" s="47"/>
      <c r="W862" s="47"/>
      <c r="X862" s="47"/>
      <c r="Y862" s="47"/>
      <c r="Z862" s="47"/>
    </row>
    <row r="863" spans="1:26" ht="12.75" customHeight="1">
      <c r="A863" s="47"/>
      <c r="B863" s="47"/>
      <c r="C863" s="47"/>
      <c r="D863" s="47"/>
      <c r="E863" s="47"/>
      <c r="F863" s="47"/>
      <c r="G863" s="47"/>
      <c r="H863" s="84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47"/>
      <c r="U863" s="47"/>
      <c r="V863" s="47"/>
      <c r="W863" s="47"/>
      <c r="X863" s="47"/>
      <c r="Y863" s="47"/>
      <c r="Z863" s="47"/>
    </row>
    <row r="864" spans="1:26" ht="12.75" customHeight="1">
      <c r="A864" s="47"/>
      <c r="B864" s="47"/>
      <c r="C864" s="47"/>
      <c r="D864" s="47"/>
      <c r="E864" s="47"/>
      <c r="F864" s="47"/>
      <c r="G864" s="47"/>
      <c r="H864" s="84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47"/>
      <c r="U864" s="47"/>
      <c r="V864" s="47"/>
      <c r="W864" s="47"/>
      <c r="X864" s="47"/>
      <c r="Y864" s="47"/>
      <c r="Z864" s="47"/>
    </row>
    <row r="865" spans="1:26" ht="12.75" customHeight="1">
      <c r="A865" s="47"/>
      <c r="B865" s="47"/>
      <c r="C865" s="47"/>
      <c r="D865" s="47"/>
      <c r="E865" s="47"/>
      <c r="F865" s="47"/>
      <c r="G865" s="47"/>
      <c r="H865" s="84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47"/>
      <c r="U865" s="47"/>
      <c r="V865" s="47"/>
      <c r="W865" s="47"/>
      <c r="X865" s="47"/>
      <c r="Y865" s="47"/>
      <c r="Z865" s="47"/>
    </row>
    <row r="866" spans="1:26" ht="12.75" customHeight="1">
      <c r="A866" s="47"/>
      <c r="B866" s="47"/>
      <c r="C866" s="47"/>
      <c r="D866" s="47"/>
      <c r="E866" s="47"/>
      <c r="F866" s="47"/>
      <c r="G866" s="47"/>
      <c r="H866" s="84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47"/>
      <c r="U866" s="47"/>
      <c r="V866" s="47"/>
      <c r="W866" s="47"/>
      <c r="X866" s="47"/>
      <c r="Y866" s="47"/>
      <c r="Z866" s="47"/>
    </row>
    <row r="867" spans="1:26" ht="12.75" customHeight="1">
      <c r="A867" s="47"/>
      <c r="B867" s="47"/>
      <c r="C867" s="47"/>
      <c r="D867" s="47"/>
      <c r="E867" s="47"/>
      <c r="F867" s="47"/>
      <c r="G867" s="47"/>
      <c r="H867" s="84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47"/>
      <c r="U867" s="47"/>
      <c r="V867" s="47"/>
      <c r="W867" s="47"/>
      <c r="X867" s="47"/>
      <c r="Y867" s="47"/>
      <c r="Z867" s="47"/>
    </row>
    <row r="868" spans="1:26" ht="12.75" customHeight="1">
      <c r="A868" s="47"/>
      <c r="B868" s="47"/>
      <c r="C868" s="47"/>
      <c r="D868" s="47"/>
      <c r="E868" s="47"/>
      <c r="F868" s="47"/>
      <c r="G868" s="47"/>
      <c r="H868" s="84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47"/>
      <c r="U868" s="47"/>
      <c r="V868" s="47"/>
      <c r="W868" s="47"/>
      <c r="X868" s="47"/>
      <c r="Y868" s="47"/>
      <c r="Z868" s="47"/>
    </row>
    <row r="869" spans="1:26" ht="12.75" customHeight="1">
      <c r="A869" s="47"/>
      <c r="B869" s="47"/>
      <c r="C869" s="47"/>
      <c r="D869" s="47"/>
      <c r="E869" s="47"/>
      <c r="F869" s="47"/>
      <c r="G869" s="47"/>
      <c r="H869" s="84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47"/>
      <c r="U869" s="47"/>
      <c r="V869" s="47"/>
      <c r="W869" s="47"/>
      <c r="X869" s="47"/>
      <c r="Y869" s="47"/>
      <c r="Z869" s="47"/>
    </row>
    <row r="870" spans="1:26" ht="12.75" customHeight="1">
      <c r="A870" s="47"/>
      <c r="B870" s="47"/>
      <c r="C870" s="47"/>
      <c r="D870" s="47"/>
      <c r="E870" s="47"/>
      <c r="F870" s="47"/>
      <c r="G870" s="47"/>
      <c r="H870" s="84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47"/>
      <c r="U870" s="47"/>
      <c r="V870" s="47"/>
      <c r="W870" s="47"/>
      <c r="X870" s="47"/>
      <c r="Y870" s="47"/>
      <c r="Z870" s="47"/>
    </row>
    <row r="871" spans="1:26" ht="12.75" customHeight="1">
      <c r="A871" s="47"/>
      <c r="B871" s="47"/>
      <c r="C871" s="47"/>
      <c r="D871" s="47"/>
      <c r="E871" s="47"/>
      <c r="F871" s="47"/>
      <c r="G871" s="47"/>
      <c r="H871" s="84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47"/>
      <c r="U871" s="47"/>
      <c r="V871" s="47"/>
      <c r="W871" s="47"/>
      <c r="X871" s="47"/>
      <c r="Y871" s="47"/>
      <c r="Z871" s="47"/>
    </row>
    <row r="872" spans="1:26" ht="12.75" customHeight="1">
      <c r="A872" s="47"/>
      <c r="B872" s="47"/>
      <c r="C872" s="47"/>
      <c r="D872" s="47"/>
      <c r="E872" s="47"/>
      <c r="F872" s="47"/>
      <c r="G872" s="47"/>
      <c r="H872" s="84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47"/>
      <c r="U872" s="47"/>
      <c r="V872" s="47"/>
      <c r="W872" s="47"/>
      <c r="X872" s="47"/>
      <c r="Y872" s="47"/>
      <c r="Z872" s="47"/>
    </row>
    <row r="873" spans="1:26" ht="12.75" customHeight="1">
      <c r="A873" s="47"/>
      <c r="B873" s="47"/>
      <c r="C873" s="47"/>
      <c r="D873" s="47"/>
      <c r="E873" s="47"/>
      <c r="F873" s="47"/>
      <c r="G873" s="47"/>
      <c r="H873" s="84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47"/>
      <c r="U873" s="47"/>
      <c r="V873" s="47"/>
      <c r="W873" s="47"/>
      <c r="X873" s="47"/>
      <c r="Y873" s="47"/>
      <c r="Z873" s="47"/>
    </row>
    <row r="874" spans="1:26" ht="12.75" customHeight="1">
      <c r="A874" s="47"/>
      <c r="B874" s="47"/>
      <c r="C874" s="47"/>
      <c r="D874" s="47"/>
      <c r="E874" s="47"/>
      <c r="F874" s="47"/>
      <c r="G874" s="47"/>
      <c r="H874" s="84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47"/>
      <c r="U874" s="47"/>
      <c r="V874" s="47"/>
      <c r="W874" s="47"/>
      <c r="X874" s="47"/>
      <c r="Y874" s="47"/>
      <c r="Z874" s="47"/>
    </row>
    <row r="875" spans="1:26" ht="12.75" customHeight="1">
      <c r="A875" s="47"/>
      <c r="B875" s="47"/>
      <c r="C875" s="47"/>
      <c r="D875" s="47"/>
      <c r="E875" s="47"/>
      <c r="F875" s="47"/>
      <c r="G875" s="47"/>
      <c r="H875" s="84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47"/>
      <c r="U875" s="47"/>
      <c r="V875" s="47"/>
      <c r="W875" s="47"/>
      <c r="X875" s="47"/>
      <c r="Y875" s="47"/>
      <c r="Z875" s="47"/>
    </row>
    <row r="876" spans="1:26" ht="12.75" customHeight="1">
      <c r="A876" s="47"/>
      <c r="B876" s="47"/>
      <c r="C876" s="47"/>
      <c r="D876" s="47"/>
      <c r="E876" s="47"/>
      <c r="F876" s="47"/>
      <c r="G876" s="47"/>
      <c r="H876" s="84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47"/>
      <c r="U876" s="47"/>
      <c r="V876" s="47"/>
      <c r="W876" s="47"/>
      <c r="X876" s="47"/>
      <c r="Y876" s="47"/>
      <c r="Z876" s="47"/>
    </row>
    <row r="877" spans="1:26" ht="12.75" customHeight="1">
      <c r="A877" s="47"/>
      <c r="B877" s="47"/>
      <c r="C877" s="47"/>
      <c r="D877" s="47"/>
      <c r="E877" s="47"/>
      <c r="F877" s="47"/>
      <c r="G877" s="47"/>
      <c r="H877" s="84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47"/>
      <c r="U877" s="47"/>
      <c r="V877" s="47"/>
      <c r="W877" s="47"/>
      <c r="X877" s="47"/>
      <c r="Y877" s="47"/>
      <c r="Z877" s="47"/>
    </row>
    <row r="878" spans="1:26" ht="12.75" customHeight="1">
      <c r="A878" s="47"/>
      <c r="B878" s="47"/>
      <c r="C878" s="47"/>
      <c r="D878" s="47"/>
      <c r="E878" s="47"/>
      <c r="F878" s="47"/>
      <c r="G878" s="47"/>
      <c r="H878" s="84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47"/>
      <c r="U878" s="47"/>
      <c r="V878" s="47"/>
      <c r="W878" s="47"/>
      <c r="X878" s="47"/>
      <c r="Y878" s="47"/>
      <c r="Z878" s="47"/>
    </row>
    <row r="879" spans="1:26" ht="12.75" customHeight="1">
      <c r="A879" s="47"/>
      <c r="B879" s="47"/>
      <c r="C879" s="47"/>
      <c r="D879" s="47"/>
      <c r="E879" s="47"/>
      <c r="F879" s="47"/>
      <c r="G879" s="47"/>
      <c r="H879" s="84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47"/>
      <c r="U879" s="47"/>
      <c r="V879" s="47"/>
      <c r="W879" s="47"/>
      <c r="X879" s="47"/>
      <c r="Y879" s="47"/>
      <c r="Z879" s="47"/>
    </row>
    <row r="880" spans="1:26" ht="12.75" customHeight="1">
      <c r="A880" s="47"/>
      <c r="B880" s="47"/>
      <c r="C880" s="47"/>
      <c r="D880" s="47"/>
      <c r="E880" s="47"/>
      <c r="F880" s="47"/>
      <c r="G880" s="47"/>
      <c r="H880" s="84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47"/>
      <c r="U880" s="47"/>
      <c r="V880" s="47"/>
      <c r="W880" s="47"/>
      <c r="X880" s="47"/>
      <c r="Y880" s="47"/>
      <c r="Z880" s="47"/>
    </row>
    <row r="881" spans="1:26" ht="12.75" customHeight="1">
      <c r="A881" s="47"/>
      <c r="B881" s="47"/>
      <c r="C881" s="47"/>
      <c r="D881" s="47"/>
      <c r="E881" s="47"/>
      <c r="F881" s="47"/>
      <c r="G881" s="47"/>
      <c r="H881" s="84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47"/>
      <c r="U881" s="47"/>
      <c r="V881" s="47"/>
      <c r="W881" s="47"/>
      <c r="X881" s="47"/>
      <c r="Y881" s="47"/>
      <c r="Z881" s="47"/>
    </row>
    <row r="882" spans="1:26" ht="12.75" customHeight="1">
      <c r="A882" s="47"/>
      <c r="B882" s="47"/>
      <c r="C882" s="47"/>
      <c r="D882" s="47"/>
      <c r="E882" s="47"/>
      <c r="F882" s="47"/>
      <c r="G882" s="47"/>
      <c r="H882" s="84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47"/>
      <c r="U882" s="47"/>
      <c r="V882" s="47"/>
      <c r="W882" s="47"/>
      <c r="X882" s="47"/>
      <c r="Y882" s="47"/>
      <c r="Z882" s="47"/>
    </row>
    <row r="883" spans="1:26" ht="12.75" customHeight="1">
      <c r="A883" s="47"/>
      <c r="B883" s="47"/>
      <c r="C883" s="47"/>
      <c r="D883" s="47"/>
      <c r="E883" s="47"/>
      <c r="F883" s="47"/>
      <c r="G883" s="47"/>
      <c r="H883" s="84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47"/>
      <c r="U883" s="47"/>
      <c r="V883" s="47"/>
      <c r="W883" s="47"/>
      <c r="X883" s="47"/>
      <c r="Y883" s="47"/>
      <c r="Z883" s="47"/>
    </row>
    <row r="884" spans="1:26" ht="12.75" customHeight="1">
      <c r="A884" s="47"/>
      <c r="B884" s="47"/>
      <c r="C884" s="47"/>
      <c r="D884" s="47"/>
      <c r="E884" s="47"/>
      <c r="F884" s="47"/>
      <c r="G884" s="47"/>
      <c r="H884" s="84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47"/>
      <c r="U884" s="47"/>
      <c r="V884" s="47"/>
      <c r="W884" s="47"/>
      <c r="X884" s="47"/>
      <c r="Y884" s="47"/>
      <c r="Z884" s="47"/>
    </row>
    <row r="885" spans="1:26" ht="12.75" customHeight="1">
      <c r="A885" s="47"/>
      <c r="B885" s="47"/>
      <c r="C885" s="47"/>
      <c r="D885" s="47"/>
      <c r="E885" s="47"/>
      <c r="F885" s="47"/>
      <c r="G885" s="47"/>
      <c r="H885" s="84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47"/>
      <c r="U885" s="47"/>
      <c r="V885" s="47"/>
      <c r="W885" s="47"/>
      <c r="X885" s="47"/>
      <c r="Y885" s="47"/>
      <c r="Z885" s="47"/>
    </row>
    <row r="886" spans="1:26" ht="12.75" customHeight="1">
      <c r="A886" s="47"/>
      <c r="B886" s="47"/>
      <c r="C886" s="47"/>
      <c r="D886" s="47"/>
      <c r="E886" s="47"/>
      <c r="F886" s="47"/>
      <c r="G886" s="47"/>
      <c r="H886" s="84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47"/>
      <c r="U886" s="47"/>
      <c r="V886" s="47"/>
      <c r="W886" s="47"/>
      <c r="X886" s="47"/>
      <c r="Y886" s="47"/>
      <c r="Z886" s="47"/>
    </row>
    <row r="887" spans="1:26" ht="12.75" customHeight="1">
      <c r="A887" s="47"/>
      <c r="B887" s="47"/>
      <c r="C887" s="47"/>
      <c r="D887" s="47"/>
      <c r="E887" s="47"/>
      <c r="F887" s="47"/>
      <c r="G887" s="47"/>
      <c r="H887" s="84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47"/>
      <c r="U887" s="47"/>
      <c r="V887" s="47"/>
      <c r="W887" s="47"/>
      <c r="X887" s="47"/>
      <c r="Y887" s="47"/>
      <c r="Z887" s="47"/>
    </row>
    <row r="888" spans="1:26" ht="12.75" customHeight="1">
      <c r="A888" s="47"/>
      <c r="B888" s="47"/>
      <c r="C888" s="47"/>
      <c r="D888" s="47"/>
      <c r="E888" s="47"/>
      <c r="F888" s="47"/>
      <c r="G888" s="47"/>
      <c r="H888" s="84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47"/>
      <c r="U888" s="47"/>
      <c r="V888" s="47"/>
      <c r="W888" s="47"/>
      <c r="X888" s="47"/>
      <c r="Y888" s="47"/>
      <c r="Z888" s="47"/>
    </row>
    <row r="889" spans="1:26" ht="12.75" customHeight="1">
      <c r="A889" s="47"/>
      <c r="B889" s="47"/>
      <c r="C889" s="47"/>
      <c r="D889" s="47"/>
      <c r="E889" s="47"/>
      <c r="F889" s="47"/>
      <c r="G889" s="47"/>
      <c r="H889" s="84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47"/>
      <c r="U889" s="47"/>
      <c r="V889" s="47"/>
      <c r="W889" s="47"/>
      <c r="X889" s="47"/>
      <c r="Y889" s="47"/>
      <c r="Z889" s="47"/>
    </row>
    <row r="890" spans="1:26" ht="12.75" customHeight="1">
      <c r="A890" s="47"/>
      <c r="B890" s="47"/>
      <c r="C890" s="47"/>
      <c r="D890" s="47"/>
      <c r="E890" s="47"/>
      <c r="F890" s="47"/>
      <c r="G890" s="47"/>
      <c r="H890" s="84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47"/>
      <c r="U890" s="47"/>
      <c r="V890" s="47"/>
      <c r="W890" s="47"/>
      <c r="X890" s="47"/>
      <c r="Y890" s="47"/>
      <c r="Z890" s="47"/>
    </row>
    <row r="891" spans="1:26" ht="12.75" customHeight="1">
      <c r="A891" s="47"/>
      <c r="B891" s="47"/>
      <c r="C891" s="47"/>
      <c r="D891" s="47"/>
      <c r="E891" s="47"/>
      <c r="F891" s="47"/>
      <c r="G891" s="47"/>
      <c r="H891" s="84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47"/>
      <c r="U891" s="47"/>
      <c r="V891" s="47"/>
      <c r="W891" s="47"/>
      <c r="X891" s="47"/>
      <c r="Y891" s="47"/>
      <c r="Z891" s="47"/>
    </row>
    <row r="892" spans="1:26" ht="12.75" customHeight="1">
      <c r="A892" s="47"/>
      <c r="B892" s="47"/>
      <c r="C892" s="47"/>
      <c r="D892" s="47"/>
      <c r="E892" s="47"/>
      <c r="F892" s="47"/>
      <c r="G892" s="47"/>
      <c r="H892" s="84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47"/>
      <c r="U892" s="47"/>
      <c r="V892" s="47"/>
      <c r="W892" s="47"/>
      <c r="X892" s="47"/>
      <c r="Y892" s="47"/>
      <c r="Z892" s="47"/>
    </row>
    <row r="893" spans="1:26" ht="12.75" customHeight="1">
      <c r="A893" s="47"/>
      <c r="B893" s="47"/>
      <c r="C893" s="47"/>
      <c r="D893" s="47"/>
      <c r="E893" s="47"/>
      <c r="F893" s="47"/>
      <c r="G893" s="47"/>
      <c r="H893" s="84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47"/>
      <c r="U893" s="47"/>
      <c r="V893" s="47"/>
      <c r="W893" s="47"/>
      <c r="X893" s="47"/>
      <c r="Y893" s="47"/>
      <c r="Z893" s="47"/>
    </row>
    <row r="894" spans="1:26" ht="12.75" customHeight="1">
      <c r="A894" s="47"/>
      <c r="B894" s="47"/>
      <c r="C894" s="47"/>
      <c r="D894" s="47"/>
      <c r="E894" s="47"/>
      <c r="F894" s="47"/>
      <c r="G894" s="47"/>
      <c r="H894" s="84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47"/>
      <c r="U894" s="47"/>
      <c r="V894" s="47"/>
      <c r="W894" s="47"/>
      <c r="X894" s="47"/>
      <c r="Y894" s="47"/>
      <c r="Z894" s="47"/>
    </row>
    <row r="895" spans="1:26" ht="12.75" customHeight="1">
      <c r="A895" s="47"/>
      <c r="B895" s="47"/>
      <c r="C895" s="47"/>
      <c r="D895" s="47"/>
      <c r="E895" s="47"/>
      <c r="F895" s="47"/>
      <c r="G895" s="47"/>
      <c r="H895" s="84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47"/>
      <c r="U895" s="47"/>
      <c r="V895" s="47"/>
      <c r="W895" s="47"/>
      <c r="X895" s="47"/>
      <c r="Y895" s="47"/>
      <c r="Z895" s="47"/>
    </row>
    <row r="896" spans="1:26" ht="12.75" customHeight="1">
      <c r="A896" s="47"/>
      <c r="B896" s="47"/>
      <c r="C896" s="47"/>
      <c r="D896" s="47"/>
      <c r="E896" s="47"/>
      <c r="F896" s="47"/>
      <c r="G896" s="47"/>
      <c r="H896" s="84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47"/>
      <c r="U896" s="47"/>
      <c r="V896" s="47"/>
      <c r="W896" s="47"/>
      <c r="X896" s="47"/>
      <c r="Y896" s="47"/>
      <c r="Z896" s="47"/>
    </row>
    <row r="897" spans="1:26" ht="12.75" customHeight="1">
      <c r="A897" s="47"/>
      <c r="B897" s="47"/>
      <c r="C897" s="47"/>
      <c r="D897" s="47"/>
      <c r="E897" s="47"/>
      <c r="F897" s="47"/>
      <c r="G897" s="47"/>
      <c r="H897" s="84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47"/>
      <c r="U897" s="47"/>
      <c r="V897" s="47"/>
      <c r="W897" s="47"/>
      <c r="X897" s="47"/>
      <c r="Y897" s="47"/>
      <c r="Z897" s="47"/>
    </row>
    <row r="898" spans="1:26" ht="12.75" customHeight="1">
      <c r="A898" s="47"/>
      <c r="B898" s="47"/>
      <c r="C898" s="47"/>
      <c r="D898" s="47"/>
      <c r="E898" s="47"/>
      <c r="F898" s="47"/>
      <c r="G898" s="47"/>
      <c r="H898" s="84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47"/>
      <c r="U898" s="47"/>
      <c r="V898" s="47"/>
      <c r="W898" s="47"/>
      <c r="X898" s="47"/>
      <c r="Y898" s="47"/>
      <c r="Z898" s="47"/>
    </row>
    <row r="899" spans="1:26" ht="12.75" customHeight="1">
      <c r="A899" s="47"/>
      <c r="B899" s="47"/>
      <c r="C899" s="47"/>
      <c r="D899" s="47"/>
      <c r="E899" s="47"/>
      <c r="F899" s="47"/>
      <c r="G899" s="47"/>
      <c r="H899" s="84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47"/>
      <c r="U899" s="47"/>
      <c r="V899" s="47"/>
      <c r="W899" s="47"/>
      <c r="X899" s="47"/>
      <c r="Y899" s="47"/>
      <c r="Z899" s="47"/>
    </row>
    <row r="900" spans="1:26" ht="12.75" customHeight="1">
      <c r="A900" s="47"/>
      <c r="B900" s="47"/>
      <c r="C900" s="47"/>
      <c r="D900" s="47"/>
      <c r="E900" s="47"/>
      <c r="F900" s="47"/>
      <c r="G900" s="47"/>
      <c r="H900" s="84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47"/>
      <c r="U900" s="47"/>
      <c r="V900" s="47"/>
      <c r="W900" s="47"/>
      <c r="X900" s="47"/>
      <c r="Y900" s="47"/>
      <c r="Z900" s="47"/>
    </row>
    <row r="901" spans="1:26" ht="12.75" customHeight="1">
      <c r="A901" s="47"/>
      <c r="B901" s="47"/>
      <c r="C901" s="47"/>
      <c r="D901" s="47"/>
      <c r="E901" s="47"/>
      <c r="F901" s="47"/>
      <c r="G901" s="47"/>
      <c r="H901" s="84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47"/>
      <c r="U901" s="47"/>
      <c r="V901" s="47"/>
      <c r="W901" s="47"/>
      <c r="X901" s="47"/>
      <c r="Y901" s="47"/>
      <c r="Z901" s="47"/>
    </row>
    <row r="902" spans="1:26" ht="12.75" customHeight="1">
      <c r="A902" s="47"/>
      <c r="B902" s="47"/>
      <c r="C902" s="47"/>
      <c r="D902" s="47"/>
      <c r="E902" s="47"/>
      <c r="F902" s="47"/>
      <c r="G902" s="47"/>
      <c r="H902" s="84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47"/>
      <c r="U902" s="47"/>
      <c r="V902" s="47"/>
      <c r="W902" s="47"/>
      <c r="X902" s="47"/>
      <c r="Y902" s="47"/>
      <c r="Z902" s="47"/>
    </row>
    <row r="903" spans="1:26" ht="12.75" customHeight="1">
      <c r="A903" s="47"/>
      <c r="B903" s="47"/>
      <c r="C903" s="47"/>
      <c r="D903" s="47"/>
      <c r="E903" s="47"/>
      <c r="F903" s="47"/>
      <c r="G903" s="47"/>
      <c r="H903" s="84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47"/>
      <c r="U903" s="47"/>
      <c r="V903" s="47"/>
      <c r="W903" s="47"/>
      <c r="X903" s="47"/>
      <c r="Y903" s="47"/>
      <c r="Z903" s="47"/>
    </row>
    <row r="904" spans="1:26" ht="12.75" customHeight="1">
      <c r="A904" s="47"/>
      <c r="B904" s="47"/>
      <c r="C904" s="47"/>
      <c r="D904" s="47"/>
      <c r="E904" s="47"/>
      <c r="F904" s="47"/>
      <c r="G904" s="47"/>
      <c r="H904" s="84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47"/>
      <c r="U904" s="47"/>
      <c r="V904" s="47"/>
      <c r="W904" s="47"/>
      <c r="X904" s="47"/>
      <c r="Y904" s="47"/>
      <c r="Z904" s="47"/>
    </row>
    <row r="905" spans="1:26" ht="12.75" customHeight="1">
      <c r="A905" s="47"/>
      <c r="B905" s="47"/>
      <c r="C905" s="47"/>
      <c r="D905" s="47"/>
      <c r="E905" s="47"/>
      <c r="F905" s="47"/>
      <c r="G905" s="47"/>
      <c r="H905" s="84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47"/>
      <c r="U905" s="47"/>
      <c r="V905" s="47"/>
      <c r="W905" s="47"/>
      <c r="X905" s="47"/>
      <c r="Y905" s="47"/>
      <c r="Z905" s="47"/>
    </row>
    <row r="906" spans="1:26" ht="12.75" customHeight="1">
      <c r="A906" s="47"/>
      <c r="B906" s="47"/>
      <c r="C906" s="47"/>
      <c r="D906" s="47"/>
      <c r="E906" s="47"/>
      <c r="F906" s="47"/>
      <c r="G906" s="47"/>
      <c r="H906" s="84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47"/>
      <c r="U906" s="47"/>
      <c r="V906" s="47"/>
      <c r="W906" s="47"/>
      <c r="X906" s="47"/>
      <c r="Y906" s="47"/>
      <c r="Z906" s="47"/>
    </row>
    <row r="907" spans="1:26" ht="12.75" customHeight="1">
      <c r="A907" s="47"/>
      <c r="B907" s="47"/>
      <c r="C907" s="47"/>
      <c r="D907" s="47"/>
      <c r="E907" s="47"/>
      <c r="F907" s="47"/>
      <c r="G907" s="47"/>
      <c r="H907" s="84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47"/>
      <c r="U907" s="47"/>
      <c r="V907" s="47"/>
      <c r="W907" s="47"/>
      <c r="X907" s="47"/>
      <c r="Y907" s="47"/>
      <c r="Z907" s="47"/>
    </row>
    <row r="908" spans="1:26" ht="12.75" customHeight="1">
      <c r="A908" s="47"/>
      <c r="B908" s="47"/>
      <c r="C908" s="47"/>
      <c r="D908" s="47"/>
      <c r="E908" s="47"/>
      <c r="F908" s="47"/>
      <c r="G908" s="47"/>
      <c r="H908" s="84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47"/>
      <c r="U908" s="47"/>
      <c r="V908" s="47"/>
      <c r="W908" s="47"/>
      <c r="X908" s="47"/>
      <c r="Y908" s="47"/>
      <c r="Z908" s="47"/>
    </row>
    <row r="909" spans="1:26" ht="12.75" customHeight="1">
      <c r="A909" s="47"/>
      <c r="B909" s="47"/>
      <c r="C909" s="47"/>
      <c r="D909" s="47"/>
      <c r="E909" s="47"/>
      <c r="F909" s="47"/>
      <c r="G909" s="47"/>
      <c r="H909" s="84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47"/>
      <c r="U909" s="47"/>
      <c r="V909" s="47"/>
      <c r="W909" s="47"/>
      <c r="X909" s="47"/>
      <c r="Y909" s="47"/>
      <c r="Z909" s="47"/>
    </row>
    <row r="910" spans="1:26" ht="12.75" customHeight="1">
      <c r="A910" s="47"/>
      <c r="B910" s="47"/>
      <c r="C910" s="47"/>
      <c r="D910" s="47"/>
      <c r="E910" s="47"/>
      <c r="F910" s="47"/>
      <c r="G910" s="47"/>
      <c r="H910" s="84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47"/>
      <c r="U910" s="47"/>
      <c r="V910" s="47"/>
      <c r="W910" s="47"/>
      <c r="X910" s="47"/>
      <c r="Y910" s="47"/>
      <c r="Z910" s="47"/>
    </row>
    <row r="911" spans="1:26" ht="12.75" customHeight="1">
      <c r="A911" s="47"/>
      <c r="B911" s="47"/>
      <c r="C911" s="47"/>
      <c r="D911" s="47"/>
      <c r="E911" s="47"/>
      <c r="F911" s="47"/>
      <c r="G911" s="47"/>
      <c r="H911" s="84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47"/>
      <c r="U911" s="47"/>
      <c r="V911" s="47"/>
      <c r="W911" s="47"/>
      <c r="X911" s="47"/>
      <c r="Y911" s="47"/>
      <c r="Z911" s="47"/>
    </row>
    <row r="912" spans="1:26" ht="12.75" customHeight="1">
      <c r="A912" s="47"/>
      <c r="B912" s="47"/>
      <c r="C912" s="47"/>
      <c r="D912" s="47"/>
      <c r="E912" s="47"/>
      <c r="F912" s="47"/>
      <c r="G912" s="47"/>
      <c r="H912" s="84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47"/>
      <c r="U912" s="47"/>
      <c r="V912" s="47"/>
      <c r="W912" s="47"/>
      <c r="X912" s="47"/>
      <c r="Y912" s="47"/>
      <c r="Z912" s="47"/>
    </row>
    <row r="913" spans="1:26" ht="12.75" customHeight="1">
      <c r="A913" s="47"/>
      <c r="B913" s="47"/>
      <c r="C913" s="47"/>
      <c r="D913" s="47"/>
      <c r="E913" s="47"/>
      <c r="F913" s="47"/>
      <c r="G913" s="47"/>
      <c r="H913" s="84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47"/>
      <c r="U913" s="47"/>
      <c r="V913" s="47"/>
      <c r="W913" s="47"/>
      <c r="X913" s="47"/>
      <c r="Y913" s="47"/>
      <c r="Z913" s="47"/>
    </row>
    <row r="914" spans="1:26" ht="12.75" customHeight="1">
      <c r="A914" s="47"/>
      <c r="B914" s="47"/>
      <c r="C914" s="47"/>
      <c r="D914" s="47"/>
      <c r="E914" s="47"/>
      <c r="F914" s="47"/>
      <c r="G914" s="47"/>
      <c r="H914" s="84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47"/>
      <c r="U914" s="47"/>
      <c r="V914" s="47"/>
      <c r="W914" s="47"/>
      <c r="X914" s="47"/>
      <c r="Y914" s="47"/>
      <c r="Z914" s="47"/>
    </row>
    <row r="915" spans="1:26" ht="12.75" customHeight="1">
      <c r="A915" s="47"/>
      <c r="B915" s="47"/>
      <c r="C915" s="47"/>
      <c r="D915" s="47"/>
      <c r="E915" s="47"/>
      <c r="F915" s="47"/>
      <c r="G915" s="47"/>
      <c r="H915" s="84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47"/>
      <c r="U915" s="47"/>
      <c r="V915" s="47"/>
      <c r="W915" s="47"/>
      <c r="X915" s="47"/>
      <c r="Y915" s="47"/>
      <c r="Z915" s="47"/>
    </row>
    <row r="916" spans="1:26" ht="12.75" customHeight="1">
      <c r="A916" s="47"/>
      <c r="B916" s="47"/>
      <c r="C916" s="47"/>
      <c r="D916" s="47"/>
      <c r="E916" s="47"/>
      <c r="F916" s="47"/>
      <c r="G916" s="47"/>
      <c r="H916" s="84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47"/>
      <c r="U916" s="47"/>
      <c r="V916" s="47"/>
      <c r="W916" s="47"/>
      <c r="X916" s="47"/>
      <c r="Y916" s="47"/>
      <c r="Z916" s="47"/>
    </row>
    <row r="917" spans="1:26" ht="12.75" customHeight="1">
      <c r="A917" s="47"/>
      <c r="B917" s="47"/>
      <c r="C917" s="47"/>
      <c r="D917" s="47"/>
      <c r="E917" s="47"/>
      <c r="F917" s="47"/>
      <c r="G917" s="47"/>
      <c r="H917" s="84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47"/>
      <c r="U917" s="47"/>
      <c r="V917" s="47"/>
      <c r="W917" s="47"/>
      <c r="X917" s="47"/>
      <c r="Y917" s="47"/>
      <c r="Z917" s="47"/>
    </row>
    <row r="918" spans="1:26" ht="12.75" customHeight="1">
      <c r="A918" s="47"/>
      <c r="B918" s="47"/>
      <c r="C918" s="47"/>
      <c r="D918" s="47"/>
      <c r="E918" s="47"/>
      <c r="F918" s="47"/>
      <c r="G918" s="47"/>
      <c r="H918" s="84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47"/>
      <c r="U918" s="47"/>
      <c r="V918" s="47"/>
      <c r="W918" s="47"/>
      <c r="X918" s="47"/>
      <c r="Y918" s="47"/>
      <c r="Z918" s="47"/>
    </row>
    <row r="919" spans="1:26" ht="12.75" customHeight="1">
      <c r="A919" s="47"/>
      <c r="B919" s="47"/>
      <c r="C919" s="47"/>
      <c r="D919" s="47"/>
      <c r="E919" s="47"/>
      <c r="F919" s="47"/>
      <c r="G919" s="47"/>
      <c r="H919" s="84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47"/>
      <c r="U919" s="47"/>
      <c r="V919" s="47"/>
      <c r="W919" s="47"/>
      <c r="X919" s="47"/>
      <c r="Y919" s="47"/>
      <c r="Z919" s="47"/>
    </row>
    <row r="920" spans="1:26" ht="12.75" customHeight="1">
      <c r="A920" s="47"/>
      <c r="B920" s="47"/>
      <c r="C920" s="47"/>
      <c r="D920" s="47"/>
      <c r="E920" s="47"/>
      <c r="F920" s="47"/>
      <c r="G920" s="47"/>
      <c r="H920" s="84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47"/>
      <c r="U920" s="47"/>
      <c r="V920" s="47"/>
      <c r="W920" s="47"/>
      <c r="X920" s="47"/>
      <c r="Y920" s="47"/>
      <c r="Z920" s="47"/>
    </row>
    <row r="921" spans="1:26" ht="12.75" customHeight="1">
      <c r="A921" s="47"/>
      <c r="B921" s="47"/>
      <c r="C921" s="47"/>
      <c r="D921" s="47"/>
      <c r="E921" s="47"/>
      <c r="F921" s="47"/>
      <c r="G921" s="47"/>
      <c r="H921" s="84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47"/>
      <c r="U921" s="47"/>
      <c r="V921" s="47"/>
      <c r="W921" s="47"/>
      <c r="X921" s="47"/>
      <c r="Y921" s="47"/>
      <c r="Z921" s="47"/>
    </row>
    <row r="922" spans="1:26" ht="12.75" customHeight="1">
      <c r="A922" s="47"/>
      <c r="B922" s="47"/>
      <c r="C922" s="47"/>
      <c r="D922" s="47"/>
      <c r="E922" s="47"/>
      <c r="F922" s="47"/>
      <c r="G922" s="47"/>
      <c r="H922" s="84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47"/>
      <c r="U922" s="47"/>
      <c r="V922" s="47"/>
      <c r="W922" s="47"/>
      <c r="X922" s="47"/>
      <c r="Y922" s="47"/>
      <c r="Z922" s="47"/>
    </row>
    <row r="923" spans="1:26" ht="12.75" customHeight="1">
      <c r="A923" s="47"/>
      <c r="B923" s="47"/>
      <c r="C923" s="47"/>
      <c r="D923" s="47"/>
      <c r="E923" s="47"/>
      <c r="F923" s="47"/>
      <c r="G923" s="47"/>
      <c r="H923" s="84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47"/>
      <c r="U923" s="47"/>
      <c r="V923" s="47"/>
      <c r="W923" s="47"/>
      <c r="X923" s="47"/>
      <c r="Y923" s="47"/>
      <c r="Z923" s="47"/>
    </row>
    <row r="924" spans="1:26" ht="12.75" customHeight="1">
      <c r="A924" s="47"/>
      <c r="B924" s="47"/>
      <c r="C924" s="47"/>
      <c r="D924" s="47"/>
      <c r="E924" s="47"/>
      <c r="F924" s="47"/>
      <c r="G924" s="47"/>
      <c r="H924" s="84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47"/>
      <c r="U924" s="47"/>
      <c r="V924" s="47"/>
      <c r="W924" s="47"/>
      <c r="X924" s="47"/>
      <c r="Y924" s="47"/>
      <c r="Z924" s="47"/>
    </row>
    <row r="925" spans="1:26" ht="12.75" customHeight="1">
      <c r="A925" s="47"/>
      <c r="B925" s="47"/>
      <c r="C925" s="47"/>
      <c r="D925" s="47"/>
      <c r="E925" s="47"/>
      <c r="F925" s="47"/>
      <c r="G925" s="47"/>
      <c r="H925" s="84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47"/>
      <c r="U925" s="47"/>
      <c r="V925" s="47"/>
      <c r="W925" s="47"/>
      <c r="X925" s="47"/>
      <c r="Y925" s="47"/>
      <c r="Z925" s="47"/>
    </row>
    <row r="926" spans="1:26" ht="12.75" customHeight="1">
      <c r="A926" s="47"/>
      <c r="B926" s="47"/>
      <c r="C926" s="47"/>
      <c r="D926" s="47"/>
      <c r="E926" s="47"/>
      <c r="F926" s="47"/>
      <c r="G926" s="47"/>
      <c r="H926" s="84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47"/>
      <c r="U926" s="47"/>
      <c r="V926" s="47"/>
      <c r="W926" s="47"/>
      <c r="X926" s="47"/>
      <c r="Y926" s="47"/>
      <c r="Z926" s="47"/>
    </row>
    <row r="927" spans="1:26" ht="12.75" customHeight="1">
      <c r="A927" s="47"/>
      <c r="B927" s="47"/>
      <c r="C927" s="47"/>
      <c r="D927" s="47"/>
      <c r="E927" s="47"/>
      <c r="F927" s="47"/>
      <c r="G927" s="47"/>
      <c r="H927" s="84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47"/>
      <c r="U927" s="47"/>
      <c r="V927" s="47"/>
      <c r="W927" s="47"/>
      <c r="X927" s="47"/>
      <c r="Y927" s="47"/>
      <c r="Z927" s="47"/>
    </row>
    <row r="928" spans="1:26" ht="12.75" customHeight="1">
      <c r="A928" s="47"/>
      <c r="B928" s="47"/>
      <c r="C928" s="47"/>
      <c r="D928" s="47"/>
      <c r="E928" s="47"/>
      <c r="F928" s="47"/>
      <c r="G928" s="47"/>
      <c r="H928" s="84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47"/>
      <c r="U928" s="47"/>
      <c r="V928" s="47"/>
      <c r="W928" s="47"/>
      <c r="X928" s="47"/>
      <c r="Y928" s="47"/>
      <c r="Z928" s="47"/>
    </row>
    <row r="929" spans="1:26" ht="12.75" customHeight="1">
      <c r="A929" s="47"/>
      <c r="B929" s="47"/>
      <c r="C929" s="47"/>
      <c r="D929" s="47"/>
      <c r="E929" s="47"/>
      <c r="F929" s="47"/>
      <c r="G929" s="47"/>
      <c r="H929" s="84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47"/>
      <c r="U929" s="47"/>
      <c r="V929" s="47"/>
      <c r="W929" s="47"/>
      <c r="X929" s="47"/>
      <c r="Y929" s="47"/>
      <c r="Z929" s="47"/>
    </row>
    <row r="930" spans="1:26" ht="12.75" customHeight="1">
      <c r="A930" s="47"/>
      <c r="B930" s="47"/>
      <c r="C930" s="47"/>
      <c r="D930" s="47"/>
      <c r="E930" s="47"/>
      <c r="F930" s="47"/>
      <c r="G930" s="47"/>
      <c r="H930" s="84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47"/>
      <c r="U930" s="47"/>
      <c r="V930" s="47"/>
      <c r="W930" s="47"/>
      <c r="X930" s="47"/>
      <c r="Y930" s="47"/>
      <c r="Z930" s="47"/>
    </row>
    <row r="931" spans="1:26" ht="12.75" customHeight="1">
      <c r="A931" s="47"/>
      <c r="B931" s="47"/>
      <c r="C931" s="47"/>
      <c r="D931" s="47"/>
      <c r="E931" s="47"/>
      <c r="F931" s="47"/>
      <c r="G931" s="47"/>
      <c r="H931" s="84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47"/>
      <c r="B932" s="47"/>
      <c r="C932" s="47"/>
      <c r="D932" s="47"/>
      <c r="E932" s="47"/>
      <c r="F932" s="47"/>
      <c r="G932" s="47"/>
      <c r="H932" s="84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47"/>
      <c r="B933" s="47"/>
      <c r="C933" s="47"/>
      <c r="D933" s="47"/>
      <c r="E933" s="47"/>
      <c r="F933" s="47"/>
      <c r="G933" s="47"/>
      <c r="H933" s="84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47"/>
      <c r="B934" s="47"/>
      <c r="C934" s="47"/>
      <c r="D934" s="47"/>
      <c r="E934" s="47"/>
      <c r="F934" s="47"/>
      <c r="G934" s="47"/>
      <c r="H934" s="84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47"/>
      <c r="B935" s="47"/>
      <c r="C935" s="47"/>
      <c r="D935" s="47"/>
      <c r="E935" s="47"/>
      <c r="F935" s="47"/>
      <c r="G935" s="47"/>
      <c r="H935" s="84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47"/>
      <c r="B936" s="47"/>
      <c r="C936" s="47"/>
      <c r="D936" s="47"/>
      <c r="E936" s="47"/>
      <c r="F936" s="47"/>
      <c r="G936" s="47"/>
      <c r="H936" s="84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47"/>
      <c r="B937" s="47"/>
      <c r="C937" s="47"/>
      <c r="D937" s="47"/>
      <c r="E937" s="47"/>
      <c r="F937" s="47"/>
      <c r="G937" s="47"/>
      <c r="H937" s="84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47"/>
      <c r="B938" s="47"/>
      <c r="C938" s="47"/>
      <c r="D938" s="47"/>
      <c r="E938" s="47"/>
      <c r="F938" s="47"/>
      <c r="G938" s="47"/>
      <c r="H938" s="84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47"/>
      <c r="B939" s="47"/>
      <c r="C939" s="47"/>
      <c r="D939" s="47"/>
      <c r="E939" s="47"/>
      <c r="F939" s="47"/>
      <c r="G939" s="47"/>
      <c r="H939" s="84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47"/>
      <c r="B940" s="47"/>
      <c r="C940" s="47"/>
      <c r="D940" s="47"/>
      <c r="E940" s="47"/>
      <c r="F940" s="47"/>
      <c r="G940" s="47"/>
      <c r="H940" s="84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47"/>
      <c r="B941" s="47"/>
      <c r="C941" s="47"/>
      <c r="D941" s="47"/>
      <c r="E941" s="47"/>
      <c r="F941" s="47"/>
      <c r="G941" s="47"/>
      <c r="H941" s="84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47"/>
      <c r="B942" s="47"/>
      <c r="C942" s="47"/>
      <c r="D942" s="47"/>
      <c r="E942" s="47"/>
      <c r="F942" s="47"/>
      <c r="G942" s="47"/>
      <c r="H942" s="84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47"/>
      <c r="B943" s="47"/>
      <c r="C943" s="47"/>
      <c r="D943" s="47"/>
      <c r="E943" s="47"/>
      <c r="F943" s="47"/>
      <c r="G943" s="47"/>
      <c r="H943" s="84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47"/>
      <c r="B944" s="47"/>
      <c r="C944" s="47"/>
      <c r="D944" s="47"/>
      <c r="E944" s="47"/>
      <c r="F944" s="47"/>
      <c r="G944" s="47"/>
      <c r="H944" s="84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47"/>
      <c r="U944" s="47"/>
      <c r="V944" s="47"/>
      <c r="W944" s="47"/>
      <c r="X944" s="47"/>
      <c r="Y944" s="47"/>
      <c r="Z944" s="47"/>
    </row>
    <row r="945" spans="1:26" ht="12.75" customHeight="1">
      <c r="A945" s="47"/>
      <c r="B945" s="47"/>
      <c r="C945" s="47"/>
      <c r="D945" s="47"/>
      <c r="E945" s="47"/>
      <c r="F945" s="47"/>
      <c r="G945" s="47"/>
      <c r="H945" s="84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47"/>
      <c r="U945" s="47"/>
      <c r="V945" s="47"/>
      <c r="W945" s="47"/>
      <c r="X945" s="47"/>
      <c r="Y945" s="47"/>
      <c r="Z945" s="47"/>
    </row>
    <row r="946" spans="1:26" ht="12.75" customHeight="1">
      <c r="A946" s="47"/>
      <c r="B946" s="47"/>
      <c r="C946" s="47"/>
      <c r="D946" s="47"/>
      <c r="E946" s="47"/>
      <c r="F946" s="47"/>
      <c r="G946" s="47"/>
      <c r="H946" s="84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47"/>
      <c r="U946" s="47"/>
      <c r="V946" s="47"/>
      <c r="W946" s="47"/>
      <c r="X946" s="47"/>
      <c r="Y946" s="47"/>
      <c r="Z946" s="47"/>
    </row>
    <row r="947" spans="1:26" ht="12.75" customHeight="1">
      <c r="A947" s="47"/>
      <c r="B947" s="47"/>
      <c r="C947" s="47"/>
      <c r="D947" s="47"/>
      <c r="E947" s="47"/>
      <c r="F947" s="47"/>
      <c r="G947" s="47"/>
      <c r="H947" s="84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47"/>
      <c r="U947" s="47"/>
      <c r="V947" s="47"/>
      <c r="W947" s="47"/>
      <c r="X947" s="47"/>
      <c r="Y947" s="47"/>
      <c r="Z947" s="47"/>
    </row>
    <row r="948" spans="1:26" ht="12.75" customHeight="1">
      <c r="A948" s="47"/>
      <c r="B948" s="47"/>
      <c r="C948" s="47"/>
      <c r="D948" s="47"/>
      <c r="E948" s="47"/>
      <c r="F948" s="47"/>
      <c r="G948" s="47"/>
      <c r="H948" s="84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47"/>
      <c r="U948" s="47"/>
      <c r="V948" s="47"/>
      <c r="W948" s="47"/>
      <c r="X948" s="47"/>
      <c r="Y948" s="47"/>
      <c r="Z948" s="47"/>
    </row>
    <row r="949" spans="1:26" ht="12.75" customHeight="1">
      <c r="A949" s="47"/>
      <c r="B949" s="47"/>
      <c r="C949" s="47"/>
      <c r="D949" s="47"/>
      <c r="E949" s="47"/>
      <c r="F949" s="47"/>
      <c r="G949" s="47"/>
      <c r="H949" s="84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47"/>
      <c r="U949" s="47"/>
      <c r="V949" s="47"/>
      <c r="W949" s="47"/>
      <c r="X949" s="47"/>
      <c r="Y949" s="47"/>
      <c r="Z949" s="47"/>
    </row>
    <row r="950" spans="1:26" ht="12.75" customHeight="1">
      <c r="A950" s="47"/>
      <c r="B950" s="47"/>
      <c r="C950" s="47"/>
      <c r="D950" s="47"/>
      <c r="E950" s="47"/>
      <c r="F950" s="47"/>
      <c r="G950" s="47"/>
      <c r="H950" s="84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47"/>
      <c r="U950" s="47"/>
      <c r="V950" s="47"/>
      <c r="W950" s="47"/>
      <c r="X950" s="47"/>
      <c r="Y950" s="47"/>
      <c r="Z950" s="47"/>
    </row>
    <row r="951" spans="1:26" ht="12.75" customHeight="1">
      <c r="A951" s="47"/>
      <c r="B951" s="47"/>
      <c r="C951" s="47"/>
      <c r="D951" s="47"/>
      <c r="E951" s="47"/>
      <c r="F951" s="47"/>
      <c r="G951" s="47"/>
      <c r="H951" s="84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47"/>
      <c r="U951" s="47"/>
      <c r="V951" s="47"/>
      <c r="W951" s="47"/>
      <c r="X951" s="47"/>
      <c r="Y951" s="47"/>
      <c r="Z951" s="47"/>
    </row>
    <row r="952" spans="1:26" ht="12.75" customHeight="1">
      <c r="A952" s="47"/>
      <c r="B952" s="47"/>
      <c r="C952" s="47"/>
      <c r="D952" s="47"/>
      <c r="E952" s="47"/>
      <c r="F952" s="47"/>
      <c r="G952" s="47"/>
      <c r="H952" s="84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47"/>
      <c r="U952" s="47"/>
      <c r="V952" s="47"/>
      <c r="W952" s="47"/>
      <c r="X952" s="47"/>
      <c r="Y952" s="47"/>
      <c r="Z952" s="47"/>
    </row>
    <row r="953" spans="1:26" ht="12.75" customHeight="1">
      <c r="A953" s="47"/>
      <c r="B953" s="47"/>
      <c r="C953" s="47"/>
      <c r="D953" s="47"/>
      <c r="E953" s="47"/>
      <c r="F953" s="47"/>
      <c r="G953" s="47"/>
      <c r="H953" s="84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47"/>
      <c r="U953" s="47"/>
      <c r="V953" s="47"/>
      <c r="W953" s="47"/>
      <c r="X953" s="47"/>
      <c r="Y953" s="47"/>
      <c r="Z953" s="47"/>
    </row>
    <row r="954" spans="1:26" ht="12.75" customHeight="1">
      <c r="A954" s="47"/>
      <c r="B954" s="47"/>
      <c r="C954" s="47"/>
      <c r="D954" s="47"/>
      <c r="E954" s="47"/>
      <c r="F954" s="47"/>
      <c r="G954" s="47"/>
      <c r="H954" s="84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47"/>
      <c r="U954" s="47"/>
      <c r="V954" s="47"/>
      <c r="W954" s="47"/>
      <c r="X954" s="47"/>
      <c r="Y954" s="47"/>
      <c r="Z954" s="47"/>
    </row>
    <row r="955" spans="1:26" ht="12.75" customHeight="1">
      <c r="A955" s="47"/>
      <c r="B955" s="47"/>
      <c r="C955" s="47"/>
      <c r="D955" s="47"/>
      <c r="E955" s="47"/>
      <c r="F955" s="47"/>
      <c r="G955" s="47"/>
      <c r="H955" s="84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47"/>
      <c r="U955" s="47"/>
      <c r="V955" s="47"/>
      <c r="W955" s="47"/>
      <c r="X955" s="47"/>
      <c r="Y955" s="47"/>
      <c r="Z955" s="47"/>
    </row>
    <row r="956" spans="1:26" ht="12.75" customHeight="1">
      <c r="A956" s="47"/>
      <c r="B956" s="47"/>
      <c r="C956" s="47"/>
      <c r="D956" s="47"/>
      <c r="E956" s="47"/>
      <c r="F956" s="47"/>
      <c r="G956" s="47"/>
      <c r="H956" s="84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47"/>
      <c r="U956" s="47"/>
      <c r="V956" s="47"/>
      <c r="W956" s="47"/>
      <c r="X956" s="47"/>
      <c r="Y956" s="47"/>
      <c r="Z956" s="47"/>
    </row>
    <row r="957" spans="1:26" ht="12.75" customHeight="1">
      <c r="A957" s="47"/>
      <c r="B957" s="47"/>
      <c r="C957" s="47"/>
      <c r="D957" s="47"/>
      <c r="E957" s="47"/>
      <c r="F957" s="47"/>
      <c r="G957" s="47"/>
      <c r="H957" s="84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47"/>
      <c r="U957" s="47"/>
      <c r="V957" s="47"/>
      <c r="W957" s="47"/>
      <c r="X957" s="47"/>
      <c r="Y957" s="47"/>
      <c r="Z957" s="47"/>
    </row>
    <row r="958" spans="1:26" ht="12.75" customHeight="1">
      <c r="A958" s="47"/>
      <c r="B958" s="47"/>
      <c r="C958" s="47"/>
      <c r="D958" s="47"/>
      <c r="E958" s="47"/>
      <c r="F958" s="47"/>
      <c r="G958" s="47"/>
      <c r="H958" s="84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47"/>
      <c r="U958" s="47"/>
      <c r="V958" s="47"/>
      <c r="W958" s="47"/>
      <c r="X958" s="47"/>
      <c r="Y958" s="47"/>
      <c r="Z958" s="47"/>
    </row>
    <row r="959" spans="1:26" ht="12.75" customHeight="1">
      <c r="A959" s="47"/>
      <c r="B959" s="47"/>
      <c r="C959" s="47"/>
      <c r="D959" s="47"/>
      <c r="E959" s="47"/>
      <c r="F959" s="47"/>
      <c r="G959" s="47"/>
      <c r="H959" s="84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47"/>
      <c r="U959" s="47"/>
      <c r="V959" s="47"/>
      <c r="W959" s="47"/>
      <c r="X959" s="47"/>
      <c r="Y959" s="47"/>
      <c r="Z959" s="47"/>
    </row>
    <row r="960" spans="1:26" ht="12.75" customHeight="1">
      <c r="A960" s="47"/>
      <c r="B960" s="47"/>
      <c r="C960" s="47"/>
      <c r="D960" s="47"/>
      <c r="E960" s="47"/>
      <c r="F960" s="47"/>
      <c r="G960" s="47"/>
      <c r="H960" s="84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47"/>
      <c r="U960" s="47"/>
      <c r="V960" s="47"/>
      <c r="W960" s="47"/>
      <c r="X960" s="47"/>
      <c r="Y960" s="47"/>
      <c r="Z960" s="47"/>
    </row>
    <row r="961" spans="1:26" ht="12.75" customHeight="1">
      <c r="A961" s="47"/>
      <c r="B961" s="47"/>
      <c r="C961" s="47"/>
      <c r="D961" s="47"/>
      <c r="E961" s="47"/>
      <c r="F961" s="47"/>
      <c r="G961" s="47"/>
      <c r="H961" s="84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47"/>
      <c r="U961" s="47"/>
      <c r="V961" s="47"/>
      <c r="W961" s="47"/>
      <c r="X961" s="47"/>
      <c r="Y961" s="47"/>
      <c r="Z961" s="47"/>
    </row>
    <row r="962" spans="1:26" ht="12.75" customHeight="1">
      <c r="A962" s="47"/>
      <c r="B962" s="47"/>
      <c r="C962" s="47"/>
      <c r="D962" s="47"/>
      <c r="E962" s="47"/>
      <c r="F962" s="47"/>
      <c r="G962" s="47"/>
      <c r="H962" s="84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47"/>
      <c r="U962" s="47"/>
      <c r="V962" s="47"/>
      <c r="W962" s="47"/>
      <c r="X962" s="47"/>
      <c r="Y962" s="47"/>
      <c r="Z962" s="47"/>
    </row>
    <row r="963" spans="1:26" ht="12.75" customHeight="1">
      <c r="A963" s="47"/>
      <c r="B963" s="47"/>
      <c r="C963" s="47"/>
      <c r="D963" s="47"/>
      <c r="E963" s="47"/>
      <c r="F963" s="47"/>
      <c r="G963" s="47"/>
      <c r="H963" s="84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47"/>
      <c r="U963" s="47"/>
      <c r="V963" s="47"/>
      <c r="W963" s="47"/>
      <c r="X963" s="47"/>
      <c r="Y963" s="47"/>
      <c r="Z963" s="47"/>
    </row>
    <row r="964" spans="1:26" ht="12.75" customHeight="1">
      <c r="A964" s="47"/>
      <c r="B964" s="47"/>
      <c r="C964" s="47"/>
      <c r="D964" s="47"/>
      <c r="E964" s="47"/>
      <c r="F964" s="47"/>
      <c r="G964" s="47"/>
      <c r="H964" s="84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47"/>
      <c r="U964" s="47"/>
      <c r="V964" s="47"/>
      <c r="W964" s="47"/>
      <c r="X964" s="47"/>
      <c r="Y964" s="47"/>
      <c r="Z964" s="47"/>
    </row>
    <row r="965" spans="1:26" ht="12.75" customHeight="1">
      <c r="A965" s="47"/>
      <c r="B965" s="47"/>
      <c r="C965" s="47"/>
      <c r="D965" s="47"/>
      <c r="E965" s="47"/>
      <c r="F965" s="47"/>
      <c r="G965" s="47"/>
      <c r="H965" s="84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47"/>
      <c r="U965" s="47"/>
      <c r="V965" s="47"/>
      <c r="W965" s="47"/>
      <c r="X965" s="47"/>
      <c r="Y965" s="47"/>
      <c r="Z965" s="47"/>
    </row>
    <row r="966" spans="1:26" ht="12.75" customHeight="1">
      <c r="A966" s="47"/>
      <c r="B966" s="47"/>
      <c r="C966" s="47"/>
      <c r="D966" s="47"/>
      <c r="E966" s="47"/>
      <c r="F966" s="47"/>
      <c r="G966" s="47"/>
      <c r="H966" s="84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47"/>
      <c r="U966" s="47"/>
      <c r="V966" s="47"/>
      <c r="W966" s="47"/>
      <c r="X966" s="47"/>
      <c r="Y966" s="47"/>
      <c r="Z966" s="47"/>
    </row>
    <row r="967" spans="1:26" ht="12.75" customHeight="1">
      <c r="A967" s="47"/>
      <c r="B967" s="47"/>
      <c r="C967" s="47"/>
      <c r="D967" s="47"/>
      <c r="E967" s="47"/>
      <c r="F967" s="47"/>
      <c r="G967" s="47"/>
      <c r="H967" s="84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47"/>
      <c r="U967" s="47"/>
      <c r="V967" s="47"/>
      <c r="W967" s="47"/>
      <c r="X967" s="47"/>
      <c r="Y967" s="47"/>
      <c r="Z967" s="47"/>
    </row>
    <row r="968" spans="1:26" ht="12.75" customHeight="1">
      <c r="A968" s="47"/>
      <c r="B968" s="47"/>
      <c r="C968" s="47"/>
      <c r="D968" s="47"/>
      <c r="E968" s="47"/>
      <c r="F968" s="47"/>
      <c r="G968" s="47"/>
      <c r="H968" s="84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47"/>
      <c r="U968" s="47"/>
      <c r="V968" s="47"/>
      <c r="W968" s="47"/>
      <c r="X968" s="47"/>
      <c r="Y968" s="47"/>
      <c r="Z968" s="47"/>
    </row>
    <row r="969" spans="1:26" ht="12.75" customHeight="1">
      <c r="A969" s="47"/>
      <c r="B969" s="47"/>
      <c r="C969" s="47"/>
      <c r="D969" s="47"/>
      <c r="E969" s="47"/>
      <c r="F969" s="47"/>
      <c r="G969" s="47"/>
      <c r="H969" s="84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47"/>
      <c r="U969" s="47"/>
      <c r="V969" s="47"/>
      <c r="W969" s="47"/>
      <c r="X969" s="47"/>
      <c r="Y969" s="47"/>
      <c r="Z969" s="47"/>
    </row>
    <row r="970" spans="1:26" ht="12.75" customHeight="1">
      <c r="A970" s="47"/>
      <c r="B970" s="47"/>
      <c r="C970" s="47"/>
      <c r="D970" s="47"/>
      <c r="E970" s="47"/>
      <c r="F970" s="47"/>
      <c r="G970" s="47"/>
      <c r="H970" s="84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47"/>
      <c r="U970" s="47"/>
      <c r="V970" s="47"/>
      <c r="W970" s="47"/>
      <c r="X970" s="47"/>
      <c r="Y970" s="47"/>
      <c r="Z970" s="47"/>
    </row>
    <row r="971" spans="1:26" ht="12.75" customHeight="1">
      <c r="A971" s="47"/>
      <c r="B971" s="47"/>
      <c r="C971" s="47"/>
      <c r="D971" s="47"/>
      <c r="E971" s="47"/>
      <c r="F971" s="47"/>
      <c r="G971" s="47"/>
      <c r="H971" s="84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47"/>
      <c r="U971" s="47"/>
      <c r="V971" s="47"/>
      <c r="W971" s="47"/>
      <c r="X971" s="47"/>
      <c r="Y971" s="47"/>
      <c r="Z971" s="47"/>
    </row>
    <row r="972" spans="1:26" ht="12.75" customHeight="1">
      <c r="A972" s="47"/>
      <c r="B972" s="47"/>
      <c r="C972" s="47"/>
      <c r="D972" s="47"/>
      <c r="E972" s="47"/>
      <c r="F972" s="47"/>
      <c r="G972" s="47"/>
      <c r="H972" s="84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47"/>
      <c r="U972" s="47"/>
      <c r="V972" s="47"/>
      <c r="W972" s="47"/>
      <c r="X972" s="47"/>
      <c r="Y972" s="47"/>
      <c r="Z972" s="47"/>
    </row>
    <row r="973" spans="1:26" ht="12.75" customHeight="1">
      <c r="A973" s="47"/>
      <c r="B973" s="47"/>
      <c r="C973" s="47"/>
      <c r="D973" s="47"/>
      <c r="E973" s="47"/>
      <c r="F973" s="47"/>
      <c r="G973" s="47"/>
      <c r="H973" s="84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47"/>
      <c r="U973" s="47"/>
      <c r="V973" s="47"/>
      <c r="W973" s="47"/>
      <c r="X973" s="47"/>
      <c r="Y973" s="47"/>
      <c r="Z973" s="47"/>
    </row>
    <row r="974" spans="1:26" ht="12.75" customHeight="1">
      <c r="A974" s="47"/>
      <c r="B974" s="47"/>
      <c r="C974" s="47"/>
      <c r="D974" s="47"/>
      <c r="E974" s="47"/>
      <c r="F974" s="47"/>
      <c r="G974" s="47"/>
      <c r="H974" s="84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47"/>
      <c r="U974" s="47"/>
      <c r="V974" s="47"/>
      <c r="W974" s="47"/>
      <c r="X974" s="47"/>
      <c r="Y974" s="47"/>
      <c r="Z974" s="47"/>
    </row>
    <row r="975" spans="1:26" ht="12.75" customHeight="1">
      <c r="A975" s="47"/>
      <c r="B975" s="47"/>
      <c r="C975" s="47"/>
      <c r="D975" s="47"/>
      <c r="E975" s="47"/>
      <c r="F975" s="47"/>
      <c r="G975" s="47"/>
      <c r="H975" s="84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47"/>
      <c r="U975" s="47"/>
      <c r="V975" s="47"/>
      <c r="W975" s="47"/>
      <c r="X975" s="47"/>
      <c r="Y975" s="47"/>
      <c r="Z975" s="47"/>
    </row>
    <row r="976" spans="1:26" ht="12.75" customHeight="1">
      <c r="A976" s="47"/>
      <c r="B976" s="47"/>
      <c r="C976" s="47"/>
      <c r="D976" s="47"/>
      <c r="E976" s="47"/>
      <c r="F976" s="47"/>
      <c r="G976" s="47"/>
      <c r="H976" s="84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47"/>
      <c r="U976" s="47"/>
      <c r="V976" s="47"/>
      <c r="W976" s="47"/>
      <c r="X976" s="47"/>
      <c r="Y976" s="47"/>
      <c r="Z976" s="47"/>
    </row>
    <row r="977" spans="1:26" ht="12.75" customHeight="1">
      <c r="A977" s="47"/>
      <c r="B977" s="47"/>
      <c r="C977" s="47"/>
      <c r="D977" s="47"/>
      <c r="E977" s="47"/>
      <c r="F977" s="47"/>
      <c r="G977" s="47"/>
      <c r="H977" s="84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47"/>
      <c r="U977" s="47"/>
      <c r="V977" s="47"/>
      <c r="W977" s="47"/>
      <c r="X977" s="47"/>
      <c r="Y977" s="47"/>
      <c r="Z977" s="47"/>
    </row>
    <row r="978" spans="1:26" ht="12.75" customHeight="1">
      <c r="A978" s="47"/>
      <c r="B978" s="47"/>
      <c r="C978" s="47"/>
      <c r="D978" s="47"/>
      <c r="E978" s="47"/>
      <c r="F978" s="47"/>
      <c r="G978" s="47"/>
      <c r="H978" s="84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47"/>
      <c r="U978" s="47"/>
      <c r="V978" s="47"/>
      <c r="W978" s="47"/>
      <c r="X978" s="47"/>
      <c r="Y978" s="47"/>
      <c r="Z978" s="47"/>
    </row>
    <row r="979" spans="1:26" ht="12.75" customHeight="1">
      <c r="A979" s="47"/>
      <c r="B979" s="47"/>
      <c r="C979" s="47"/>
      <c r="D979" s="47"/>
      <c r="E979" s="47"/>
      <c r="F979" s="47"/>
      <c r="G979" s="47"/>
      <c r="H979" s="84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47"/>
      <c r="U979" s="47"/>
      <c r="V979" s="47"/>
      <c r="W979" s="47"/>
      <c r="X979" s="47"/>
      <c r="Y979" s="47"/>
      <c r="Z979" s="47"/>
    </row>
    <row r="980" spans="1:26" ht="12.75" customHeight="1">
      <c r="A980" s="47"/>
      <c r="B980" s="47"/>
      <c r="C980" s="47"/>
      <c r="D980" s="47"/>
      <c r="E980" s="47"/>
      <c r="F980" s="47"/>
      <c r="G980" s="47"/>
      <c r="H980" s="84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47"/>
      <c r="U980" s="47"/>
      <c r="V980" s="47"/>
      <c r="W980" s="47"/>
      <c r="X980" s="47"/>
      <c r="Y980" s="47"/>
      <c r="Z980" s="47"/>
    </row>
    <row r="981" spans="1:26" ht="12.75" customHeight="1">
      <c r="A981" s="47"/>
      <c r="B981" s="47"/>
      <c r="C981" s="47"/>
      <c r="D981" s="47"/>
      <c r="E981" s="47"/>
      <c r="F981" s="47"/>
      <c r="G981" s="47"/>
      <c r="H981" s="84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47"/>
      <c r="U981" s="47"/>
      <c r="V981" s="47"/>
      <c r="W981" s="47"/>
      <c r="X981" s="47"/>
      <c r="Y981" s="47"/>
      <c r="Z981" s="47"/>
    </row>
    <row r="982" spans="1:26" ht="12.75" customHeight="1">
      <c r="A982" s="47"/>
      <c r="B982" s="47"/>
      <c r="C982" s="47"/>
      <c r="D982" s="47"/>
      <c r="E982" s="47"/>
      <c r="F982" s="47"/>
      <c r="G982" s="47"/>
      <c r="H982" s="84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47"/>
      <c r="U982" s="47"/>
      <c r="V982" s="47"/>
      <c r="W982" s="47"/>
      <c r="X982" s="47"/>
      <c r="Y982" s="47"/>
      <c r="Z982" s="47"/>
    </row>
    <row r="983" spans="1:26" ht="12.75" customHeight="1">
      <c r="A983" s="47"/>
      <c r="B983" s="47"/>
      <c r="C983" s="47"/>
      <c r="D983" s="47"/>
      <c r="E983" s="47"/>
      <c r="F983" s="47"/>
      <c r="G983" s="47"/>
      <c r="H983" s="84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47"/>
      <c r="U983" s="47"/>
      <c r="V983" s="47"/>
      <c r="W983" s="47"/>
      <c r="X983" s="47"/>
      <c r="Y983" s="47"/>
      <c r="Z983" s="47"/>
    </row>
    <row r="984" spans="1:26" ht="12.75" customHeight="1">
      <c r="A984" s="47"/>
      <c r="B984" s="47"/>
      <c r="C984" s="47"/>
      <c r="D984" s="47"/>
      <c r="E984" s="47"/>
      <c r="F984" s="47"/>
      <c r="G984" s="47"/>
      <c r="H984" s="84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47"/>
      <c r="U984" s="47"/>
      <c r="V984" s="47"/>
      <c r="W984" s="47"/>
      <c r="X984" s="47"/>
      <c r="Y984" s="47"/>
      <c r="Z984" s="47"/>
    </row>
    <row r="985" spans="1:26" ht="12.75" customHeight="1">
      <c r="A985" s="47"/>
      <c r="B985" s="47"/>
      <c r="C985" s="47"/>
      <c r="D985" s="47"/>
      <c r="E985" s="47"/>
      <c r="F985" s="47"/>
      <c r="G985" s="47"/>
      <c r="H985" s="84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47"/>
      <c r="U985" s="47"/>
      <c r="V985" s="47"/>
      <c r="W985" s="47"/>
      <c r="X985" s="47"/>
      <c r="Y985" s="47"/>
      <c r="Z985" s="47"/>
    </row>
    <row r="986" spans="1:26" ht="12.75" customHeight="1">
      <c r="A986" s="47"/>
      <c r="B986" s="47"/>
      <c r="C986" s="47"/>
      <c r="D986" s="47"/>
      <c r="E986" s="47"/>
      <c r="F986" s="47"/>
      <c r="G986" s="47"/>
      <c r="H986" s="84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47"/>
      <c r="U986" s="47"/>
      <c r="V986" s="47"/>
      <c r="W986" s="47"/>
      <c r="X986" s="47"/>
      <c r="Y986" s="47"/>
      <c r="Z986" s="47"/>
    </row>
    <row r="987" spans="1:26" ht="12.75" customHeight="1">
      <c r="A987" s="47"/>
      <c r="B987" s="47"/>
      <c r="C987" s="47"/>
      <c r="D987" s="47"/>
      <c r="E987" s="47"/>
      <c r="F987" s="47"/>
      <c r="G987" s="47"/>
      <c r="H987" s="84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47"/>
      <c r="U987" s="47"/>
      <c r="V987" s="47"/>
      <c r="W987" s="47"/>
      <c r="X987" s="47"/>
      <c r="Y987" s="47"/>
      <c r="Z987" s="47"/>
    </row>
    <row r="988" spans="1:26" ht="12.75" customHeight="1">
      <c r="A988" s="47"/>
      <c r="B988" s="47"/>
      <c r="C988" s="47"/>
      <c r="D988" s="47"/>
      <c r="E988" s="47"/>
      <c r="F988" s="47"/>
      <c r="G988" s="47"/>
      <c r="H988" s="84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47"/>
      <c r="U988" s="47"/>
      <c r="V988" s="47"/>
      <c r="W988" s="47"/>
      <c r="X988" s="47"/>
      <c r="Y988" s="47"/>
      <c r="Z988" s="47"/>
    </row>
    <row r="989" spans="1:26" ht="12.75" customHeight="1">
      <c r="A989" s="47"/>
      <c r="B989" s="47"/>
      <c r="C989" s="47"/>
      <c r="D989" s="47"/>
      <c r="E989" s="47"/>
      <c r="F989" s="47"/>
      <c r="G989" s="47"/>
      <c r="H989" s="84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47"/>
      <c r="U989" s="47"/>
      <c r="V989" s="47"/>
      <c r="W989" s="47"/>
      <c r="X989" s="47"/>
      <c r="Y989" s="47"/>
      <c r="Z989" s="47"/>
    </row>
    <row r="990" spans="1:26" ht="12.75" customHeight="1">
      <c r="A990" s="47"/>
      <c r="B990" s="47"/>
      <c r="C990" s="47"/>
      <c r="D990" s="47"/>
      <c r="E990" s="47"/>
      <c r="F990" s="47"/>
      <c r="G990" s="47"/>
      <c r="H990" s="84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47"/>
      <c r="U990" s="47"/>
      <c r="V990" s="47"/>
      <c r="W990" s="47"/>
      <c r="X990" s="47"/>
      <c r="Y990" s="47"/>
      <c r="Z990" s="47"/>
    </row>
    <row r="991" spans="1:26" ht="12.75" customHeight="1">
      <c r="A991" s="47"/>
      <c r="B991" s="47"/>
      <c r="C991" s="47"/>
      <c r="D991" s="47"/>
      <c r="E991" s="47"/>
      <c r="F991" s="47"/>
      <c r="G991" s="47"/>
      <c r="H991" s="84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47"/>
      <c r="U991" s="47"/>
      <c r="V991" s="47"/>
      <c r="W991" s="47"/>
      <c r="X991" s="47"/>
      <c r="Y991" s="47"/>
      <c r="Z991" s="47"/>
    </row>
    <row r="992" spans="1:26" ht="12.75" customHeight="1">
      <c r="A992" s="47"/>
      <c r="B992" s="47"/>
      <c r="C992" s="47"/>
      <c r="D992" s="47"/>
      <c r="E992" s="47"/>
      <c r="F992" s="47"/>
      <c r="G992" s="47"/>
      <c r="H992" s="84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47"/>
      <c r="U992" s="47"/>
      <c r="V992" s="47"/>
      <c r="W992" s="47"/>
      <c r="X992" s="47"/>
      <c r="Y992" s="47"/>
      <c r="Z992" s="47"/>
    </row>
    <row r="993" spans="1:26" ht="12.75" customHeight="1">
      <c r="A993" s="47"/>
      <c r="B993" s="47"/>
      <c r="C993" s="47"/>
      <c r="D993" s="47"/>
      <c r="E993" s="47"/>
      <c r="F993" s="47"/>
      <c r="G993" s="47"/>
      <c r="H993" s="84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47"/>
      <c r="U993" s="47"/>
      <c r="V993" s="47"/>
      <c r="W993" s="47"/>
      <c r="X993" s="47"/>
      <c r="Y993" s="47"/>
      <c r="Z993" s="47"/>
    </row>
    <row r="994" spans="1:26" ht="12.75" customHeight="1">
      <c r="A994" s="47"/>
      <c r="B994" s="47"/>
      <c r="C994" s="47"/>
      <c r="D994" s="47"/>
      <c r="E994" s="47"/>
      <c r="F994" s="47"/>
      <c r="G994" s="47"/>
      <c r="H994" s="84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47"/>
      <c r="B995" s="47"/>
      <c r="C995" s="47"/>
      <c r="D995" s="47"/>
      <c r="E995" s="47"/>
      <c r="F995" s="47"/>
      <c r="G995" s="47"/>
      <c r="H995" s="84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47"/>
      <c r="B996" s="47"/>
      <c r="C996" s="47"/>
      <c r="D996" s="47"/>
      <c r="E996" s="47"/>
      <c r="F996" s="47"/>
      <c r="G996" s="47"/>
      <c r="H996" s="84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47"/>
      <c r="B997" s="47"/>
      <c r="C997" s="47"/>
      <c r="D997" s="47"/>
      <c r="E997" s="47"/>
      <c r="F997" s="47"/>
      <c r="G997" s="47"/>
      <c r="H997" s="84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47"/>
      <c r="B998" s="47"/>
      <c r="C998" s="47"/>
      <c r="D998" s="47"/>
      <c r="E998" s="47"/>
      <c r="F998" s="47"/>
      <c r="G998" s="47"/>
      <c r="H998" s="84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47"/>
      <c r="B999" s="47"/>
      <c r="C999" s="47"/>
      <c r="D999" s="47"/>
      <c r="E999" s="47"/>
      <c r="F999" s="47"/>
      <c r="G999" s="47"/>
      <c r="H999" s="84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47"/>
      <c r="B1000" s="47"/>
      <c r="C1000" s="47"/>
      <c r="D1000" s="47"/>
      <c r="E1000" s="47"/>
      <c r="F1000" s="47"/>
      <c r="G1000" s="47"/>
      <c r="H1000" s="84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47"/>
      <c r="U1000" s="47"/>
      <c r="V1000" s="47"/>
      <c r="W1000" s="47"/>
      <c r="X1000" s="47"/>
      <c r="Y1000" s="47"/>
      <c r="Z1000" s="47"/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/>
  <cols>
    <col min="1" max="1" width="6.44140625" customWidth="1"/>
    <col min="2" max="2" width="5.44140625" customWidth="1"/>
    <col min="3" max="3" width="6.44140625" customWidth="1"/>
    <col min="4" max="4" width="7.109375" customWidth="1"/>
    <col min="5" max="5" width="8" customWidth="1"/>
    <col min="6" max="6" width="20.44140625" customWidth="1"/>
    <col min="7" max="7" width="20.109375" customWidth="1"/>
    <col min="8" max="8" width="52.6640625" customWidth="1"/>
    <col min="9" max="9" width="9.6640625" customWidth="1"/>
    <col min="10" max="10" width="19.44140625" customWidth="1"/>
    <col min="11" max="11" width="7.44140625" customWidth="1"/>
    <col min="12" max="12" width="8.44140625" customWidth="1"/>
    <col min="13" max="13" width="9.6640625" customWidth="1"/>
    <col min="14" max="14" width="13.109375" customWidth="1"/>
    <col min="15" max="15" width="21.6640625" customWidth="1"/>
    <col min="16" max="16" width="20.6640625" customWidth="1"/>
    <col min="17" max="17" width="13.77734375" customWidth="1"/>
    <col min="18" max="18" width="25" customWidth="1"/>
    <col min="19" max="19" width="15.6640625" customWidth="1"/>
    <col min="20" max="26" width="13.44140625" customWidth="1"/>
  </cols>
  <sheetData>
    <row r="1" spans="1:26" ht="16.5" customHeight="1">
      <c r="A1" s="2" t="s">
        <v>18</v>
      </c>
      <c r="B1" s="3"/>
      <c r="C1" s="4"/>
      <c r="D1" s="5"/>
      <c r="E1" s="2"/>
      <c r="F1" s="6"/>
      <c r="G1" s="3"/>
      <c r="H1" s="9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5"/>
      <c r="Y1" s="15"/>
      <c r="Z1" s="15"/>
    </row>
    <row r="2" spans="1:26" ht="73.5" customHeight="1">
      <c r="A2" s="14" t="s">
        <v>193</v>
      </c>
      <c r="B2" s="14" t="s">
        <v>205</v>
      </c>
      <c r="C2" s="14" t="s">
        <v>207</v>
      </c>
      <c r="D2" s="16" t="s">
        <v>208</v>
      </c>
      <c r="E2" s="16" t="s">
        <v>221</v>
      </c>
      <c r="F2" s="16" t="s">
        <v>222</v>
      </c>
      <c r="G2" s="16" t="s">
        <v>223</v>
      </c>
      <c r="H2" s="18" t="s">
        <v>227</v>
      </c>
      <c r="I2" s="19" t="s">
        <v>246</v>
      </c>
      <c r="J2" s="19" t="s">
        <v>258</v>
      </c>
      <c r="K2" s="19" t="s">
        <v>260</v>
      </c>
      <c r="L2" s="21" t="s">
        <v>261</v>
      </c>
      <c r="M2" s="21" t="s">
        <v>322</v>
      </c>
      <c r="N2" s="21" t="s">
        <v>324</v>
      </c>
      <c r="O2" s="22" t="s">
        <v>325</v>
      </c>
      <c r="P2" s="22" t="s">
        <v>334</v>
      </c>
      <c r="Q2" s="22" t="s">
        <v>335</v>
      </c>
      <c r="R2" s="22" t="s">
        <v>336</v>
      </c>
      <c r="S2" s="23" t="s">
        <v>337</v>
      </c>
      <c r="T2" s="25"/>
      <c r="U2" s="25"/>
      <c r="V2" s="25"/>
      <c r="W2" s="25"/>
      <c r="X2" s="25"/>
      <c r="Y2" s="25"/>
      <c r="Z2" s="25"/>
    </row>
    <row r="3" spans="1:26" ht="22.5" customHeight="1">
      <c r="A3" s="26">
        <v>6</v>
      </c>
      <c r="B3" s="26" t="s">
        <v>469</v>
      </c>
      <c r="C3" s="26">
        <v>61</v>
      </c>
      <c r="D3" s="29" t="s">
        <v>471</v>
      </c>
      <c r="E3" s="31">
        <v>611</v>
      </c>
      <c r="F3" s="31" t="s">
        <v>474</v>
      </c>
      <c r="G3" s="32" t="s">
        <v>476</v>
      </c>
      <c r="H3" s="50" t="s">
        <v>474</v>
      </c>
      <c r="I3" s="40"/>
      <c r="J3" s="42"/>
      <c r="K3" s="36"/>
      <c r="L3" s="31" t="s">
        <v>845</v>
      </c>
      <c r="M3" s="31" t="s">
        <v>846</v>
      </c>
      <c r="N3" s="29"/>
      <c r="O3" s="42" t="s">
        <v>847</v>
      </c>
      <c r="P3" s="37"/>
      <c r="Q3" s="36"/>
      <c r="R3" s="38"/>
      <c r="S3" s="44"/>
      <c r="T3" s="15"/>
      <c r="U3" s="15"/>
      <c r="V3" s="15"/>
      <c r="W3" s="15"/>
      <c r="X3" s="15"/>
      <c r="Y3" s="15"/>
      <c r="Z3" s="15"/>
    </row>
    <row r="4" spans="1:26" ht="22.5" customHeight="1">
      <c r="A4" s="26">
        <v>6</v>
      </c>
      <c r="B4" s="26" t="s">
        <v>469</v>
      </c>
      <c r="C4" s="26">
        <v>61</v>
      </c>
      <c r="D4" s="29" t="s">
        <v>471</v>
      </c>
      <c r="E4" s="31">
        <v>612</v>
      </c>
      <c r="F4" s="31" t="s">
        <v>856</v>
      </c>
      <c r="G4" s="32" t="s">
        <v>476</v>
      </c>
      <c r="H4" s="50" t="s">
        <v>856</v>
      </c>
      <c r="I4" s="40"/>
      <c r="J4" s="42"/>
      <c r="K4" s="36"/>
      <c r="L4" s="31" t="s">
        <v>845</v>
      </c>
      <c r="M4" s="31" t="s">
        <v>846</v>
      </c>
      <c r="N4" s="29"/>
      <c r="O4" s="42" t="s">
        <v>847</v>
      </c>
      <c r="P4" s="37"/>
      <c r="Q4" s="36"/>
      <c r="R4" s="38"/>
      <c r="S4" s="44"/>
      <c r="T4" s="15"/>
      <c r="U4" s="15"/>
      <c r="V4" s="15"/>
      <c r="W4" s="15"/>
      <c r="X4" s="15"/>
      <c r="Y4" s="15"/>
      <c r="Z4" s="15"/>
    </row>
    <row r="5" spans="1:26" ht="22.5" customHeight="1">
      <c r="A5" s="26">
        <v>6</v>
      </c>
      <c r="B5" s="26" t="s">
        <v>469</v>
      </c>
      <c r="C5" s="26">
        <v>61</v>
      </c>
      <c r="D5" s="29" t="s">
        <v>471</v>
      </c>
      <c r="E5" s="31">
        <v>613</v>
      </c>
      <c r="F5" s="31" t="s">
        <v>863</v>
      </c>
      <c r="G5" s="32" t="s">
        <v>476</v>
      </c>
      <c r="H5" s="50" t="s">
        <v>863</v>
      </c>
      <c r="I5" s="40"/>
      <c r="J5" s="42"/>
      <c r="K5" s="36"/>
      <c r="L5" s="31"/>
      <c r="M5" s="38"/>
      <c r="N5" s="29"/>
      <c r="O5" s="42" t="s">
        <v>847</v>
      </c>
      <c r="P5" s="37"/>
      <c r="Q5" s="42"/>
      <c r="R5" s="31"/>
      <c r="S5" s="44"/>
      <c r="T5" s="15"/>
      <c r="U5" s="15"/>
      <c r="V5" s="15"/>
      <c r="W5" s="15"/>
      <c r="X5" s="15"/>
      <c r="Y5" s="15"/>
      <c r="Z5" s="15"/>
    </row>
    <row r="6" spans="1:26" ht="22.5" customHeight="1">
      <c r="A6" s="26">
        <v>6</v>
      </c>
      <c r="B6" s="26" t="s">
        <v>469</v>
      </c>
      <c r="C6" s="26">
        <v>61</v>
      </c>
      <c r="D6" s="29" t="s">
        <v>471</v>
      </c>
      <c r="E6" s="31">
        <v>614</v>
      </c>
      <c r="F6" s="31" t="s">
        <v>908</v>
      </c>
      <c r="G6" s="32" t="s">
        <v>923</v>
      </c>
      <c r="H6" s="50" t="s">
        <v>908</v>
      </c>
      <c r="I6" s="40"/>
      <c r="J6" s="42"/>
      <c r="K6" s="36"/>
      <c r="L6" s="31"/>
      <c r="M6" s="38"/>
      <c r="N6" s="29"/>
      <c r="O6" s="42" t="s">
        <v>847</v>
      </c>
      <c r="P6" s="37"/>
      <c r="Q6" s="42"/>
      <c r="R6" s="31"/>
      <c r="S6" s="44"/>
      <c r="T6" s="15"/>
      <c r="U6" s="15"/>
      <c r="V6" s="15"/>
      <c r="W6" s="15"/>
      <c r="X6" s="15"/>
      <c r="Y6" s="15"/>
      <c r="Z6" s="15"/>
    </row>
    <row r="7" spans="1:26" ht="22.5" customHeight="1">
      <c r="A7" s="26">
        <v>6</v>
      </c>
      <c r="B7" s="26" t="s">
        <v>469</v>
      </c>
      <c r="C7" s="26">
        <v>61</v>
      </c>
      <c r="D7" s="29" t="s">
        <v>471</v>
      </c>
      <c r="E7" s="31">
        <v>615</v>
      </c>
      <c r="F7" s="31" t="s">
        <v>924</v>
      </c>
      <c r="G7" s="32" t="s">
        <v>476</v>
      </c>
      <c r="H7" s="50" t="s">
        <v>924</v>
      </c>
      <c r="I7" s="29"/>
      <c r="J7" s="42"/>
      <c r="K7" s="36"/>
      <c r="L7" s="31"/>
      <c r="M7" s="38"/>
      <c r="N7" s="40"/>
      <c r="O7" s="42" t="s">
        <v>847</v>
      </c>
      <c r="P7" s="37"/>
      <c r="Q7" s="42"/>
      <c r="R7" s="31"/>
      <c r="S7" s="44"/>
      <c r="T7" s="15"/>
      <c r="U7" s="15"/>
      <c r="V7" s="15"/>
      <c r="W7" s="15"/>
      <c r="X7" s="15"/>
      <c r="Y7" s="15"/>
      <c r="Z7" s="15"/>
    </row>
    <row r="8" spans="1:26" ht="22.5" customHeight="1">
      <c r="A8" s="26">
        <v>6</v>
      </c>
      <c r="B8" s="26" t="s">
        <v>469</v>
      </c>
      <c r="C8" s="26">
        <v>61</v>
      </c>
      <c r="D8" s="29" t="s">
        <v>471</v>
      </c>
      <c r="E8" s="31">
        <v>619</v>
      </c>
      <c r="F8" s="31" t="s">
        <v>971</v>
      </c>
      <c r="G8" s="32" t="s">
        <v>801</v>
      </c>
      <c r="H8" s="50" t="s">
        <v>971</v>
      </c>
      <c r="I8" s="40"/>
      <c r="J8" s="42"/>
      <c r="K8" s="36"/>
      <c r="L8" s="31"/>
      <c r="M8" s="38"/>
      <c r="N8" s="29"/>
      <c r="O8" s="42" t="s">
        <v>847</v>
      </c>
      <c r="P8" s="37"/>
      <c r="Q8" s="42"/>
      <c r="R8" s="31"/>
      <c r="S8" s="44"/>
      <c r="T8" s="15"/>
      <c r="U8" s="15"/>
      <c r="V8" s="15"/>
      <c r="W8" s="15"/>
      <c r="X8" s="15"/>
      <c r="Y8" s="15"/>
      <c r="Z8" s="15"/>
    </row>
    <row r="9" spans="1:26" ht="22.5" customHeight="1">
      <c r="A9" s="26">
        <v>6</v>
      </c>
      <c r="B9" s="26" t="s">
        <v>469</v>
      </c>
      <c r="C9" s="26">
        <v>62</v>
      </c>
      <c r="D9" s="29" t="s">
        <v>997</v>
      </c>
      <c r="E9" s="31">
        <v>621</v>
      </c>
      <c r="F9" s="31" t="s">
        <v>999</v>
      </c>
      <c r="G9" s="56" t="s">
        <v>1000</v>
      </c>
      <c r="H9" s="50" t="s">
        <v>1001</v>
      </c>
      <c r="I9" s="32"/>
      <c r="J9" s="31" t="s">
        <v>1002</v>
      </c>
      <c r="K9" s="36"/>
      <c r="L9" s="31" t="s">
        <v>1003</v>
      </c>
      <c r="M9" s="34" t="s">
        <v>1004</v>
      </c>
      <c r="N9" s="56" t="s">
        <v>1005</v>
      </c>
      <c r="O9" s="42" t="s">
        <v>1006</v>
      </c>
      <c r="P9" s="42" t="s">
        <v>1007</v>
      </c>
      <c r="Q9" s="40" t="s">
        <v>1008</v>
      </c>
      <c r="R9" s="31"/>
      <c r="S9" s="44"/>
      <c r="T9" s="15"/>
      <c r="U9" s="15"/>
      <c r="V9" s="15"/>
      <c r="W9" s="15"/>
      <c r="X9" s="15"/>
      <c r="Y9" s="15"/>
      <c r="Z9" s="15"/>
    </row>
    <row r="10" spans="1:26" ht="22.5" customHeight="1">
      <c r="A10" s="26">
        <v>6</v>
      </c>
      <c r="B10" s="26" t="s">
        <v>469</v>
      </c>
      <c r="C10" s="26">
        <v>62</v>
      </c>
      <c r="D10" s="29" t="s">
        <v>997</v>
      </c>
      <c r="E10" s="31">
        <v>622</v>
      </c>
      <c r="F10" s="31" t="s">
        <v>1010</v>
      </c>
      <c r="G10" s="32"/>
      <c r="H10" s="50" t="s">
        <v>1012</v>
      </c>
      <c r="I10" s="32"/>
      <c r="J10" s="31" t="s">
        <v>1042</v>
      </c>
      <c r="K10" s="36"/>
      <c r="L10" s="31" t="s">
        <v>1003</v>
      </c>
      <c r="M10" s="31"/>
      <c r="N10" s="32"/>
      <c r="O10" s="42" t="s">
        <v>1006</v>
      </c>
      <c r="P10" s="42" t="s">
        <v>1007</v>
      </c>
      <c r="Q10" s="40" t="s">
        <v>1043</v>
      </c>
      <c r="R10" s="31"/>
      <c r="S10" s="44"/>
      <c r="T10" s="15"/>
      <c r="U10" s="15"/>
      <c r="V10" s="15"/>
      <c r="W10" s="15"/>
      <c r="X10" s="15"/>
      <c r="Y10" s="15"/>
      <c r="Z10" s="15"/>
    </row>
    <row r="11" spans="1:26" ht="22.5" customHeight="1">
      <c r="A11" s="26">
        <v>6</v>
      </c>
      <c r="B11" s="26" t="s">
        <v>469</v>
      </c>
      <c r="C11" s="26">
        <v>62</v>
      </c>
      <c r="D11" s="29" t="s">
        <v>997</v>
      </c>
      <c r="E11" s="31">
        <v>623</v>
      </c>
      <c r="F11" s="31" t="s">
        <v>1044</v>
      </c>
      <c r="G11" s="32" t="s">
        <v>1045</v>
      </c>
      <c r="H11" s="50" t="s">
        <v>1044</v>
      </c>
      <c r="I11" s="32"/>
      <c r="J11" s="31" t="s">
        <v>1049</v>
      </c>
      <c r="K11" s="36"/>
      <c r="L11" s="31" t="s">
        <v>1003</v>
      </c>
      <c r="M11" s="31"/>
      <c r="N11" s="32"/>
      <c r="O11" s="42" t="s">
        <v>1006</v>
      </c>
      <c r="P11" s="42" t="s">
        <v>1007</v>
      </c>
      <c r="Q11" s="40" t="s">
        <v>1052</v>
      </c>
      <c r="R11" s="31"/>
      <c r="S11" s="44"/>
      <c r="T11" s="15"/>
      <c r="U11" s="15"/>
      <c r="V11" s="15"/>
      <c r="W11" s="15"/>
      <c r="X11" s="15"/>
      <c r="Y11" s="15"/>
      <c r="Z11" s="15"/>
    </row>
    <row r="12" spans="1:26" ht="22.5" customHeight="1">
      <c r="A12" s="26">
        <v>6</v>
      </c>
      <c r="B12" s="26" t="s">
        <v>469</v>
      </c>
      <c r="C12" s="26">
        <v>62</v>
      </c>
      <c r="D12" s="29" t="s">
        <v>997</v>
      </c>
      <c r="E12" s="31">
        <v>624</v>
      </c>
      <c r="F12" s="31" t="s">
        <v>1075</v>
      </c>
      <c r="G12" s="56" t="s">
        <v>1076</v>
      </c>
      <c r="H12" s="50" t="s">
        <v>1075</v>
      </c>
      <c r="I12" s="32"/>
      <c r="J12" s="31"/>
      <c r="K12" s="36"/>
      <c r="L12" s="31" t="s">
        <v>1003</v>
      </c>
      <c r="M12" s="31"/>
      <c r="N12" s="32"/>
      <c r="O12" s="42" t="s">
        <v>1006</v>
      </c>
      <c r="P12" s="70"/>
      <c r="Q12" s="70"/>
      <c r="R12" s="31"/>
      <c r="S12" s="44"/>
      <c r="T12" s="15"/>
      <c r="U12" s="15"/>
      <c r="V12" s="15"/>
      <c r="W12" s="15"/>
      <c r="X12" s="15"/>
      <c r="Y12" s="15"/>
      <c r="Z12" s="15"/>
    </row>
    <row r="13" spans="1:26" ht="22.5" customHeight="1">
      <c r="A13" s="26">
        <v>6</v>
      </c>
      <c r="B13" s="26" t="s">
        <v>469</v>
      </c>
      <c r="C13" s="26">
        <v>62</v>
      </c>
      <c r="D13" s="29" t="s">
        <v>997</v>
      </c>
      <c r="E13" s="31">
        <v>625</v>
      </c>
      <c r="F13" s="31" t="s">
        <v>1078</v>
      </c>
      <c r="G13" s="32"/>
      <c r="H13" s="50" t="s">
        <v>1080</v>
      </c>
      <c r="I13" s="32"/>
      <c r="J13" s="31"/>
      <c r="K13" s="36"/>
      <c r="L13" s="31" t="s">
        <v>1003</v>
      </c>
      <c r="M13" s="31"/>
      <c r="N13" s="32"/>
      <c r="O13" s="42" t="s">
        <v>1006</v>
      </c>
      <c r="P13" s="70"/>
      <c r="Q13" s="70"/>
      <c r="R13" s="31"/>
      <c r="S13" s="44"/>
      <c r="T13" s="15"/>
      <c r="U13" s="15"/>
      <c r="V13" s="15"/>
      <c r="W13" s="15"/>
      <c r="X13" s="15"/>
      <c r="Y13" s="15"/>
      <c r="Z13" s="15"/>
    </row>
    <row r="14" spans="1:26" ht="22.5" customHeight="1">
      <c r="A14" s="26">
        <v>6</v>
      </c>
      <c r="B14" s="26" t="s">
        <v>469</v>
      </c>
      <c r="C14" s="26">
        <v>62</v>
      </c>
      <c r="D14" s="29" t="s">
        <v>997</v>
      </c>
      <c r="E14" s="31">
        <v>626</v>
      </c>
      <c r="F14" s="31" t="s">
        <v>1091</v>
      </c>
      <c r="G14" s="56" t="s">
        <v>1093</v>
      </c>
      <c r="H14" s="50" t="s">
        <v>1094</v>
      </c>
      <c r="I14" s="32"/>
      <c r="J14" s="31" t="s">
        <v>1095</v>
      </c>
      <c r="K14" s="36"/>
      <c r="L14" s="31" t="s">
        <v>1096</v>
      </c>
      <c r="M14" s="31"/>
      <c r="N14" s="32"/>
      <c r="O14" s="42" t="s">
        <v>1006</v>
      </c>
      <c r="P14" s="42" t="s">
        <v>1007</v>
      </c>
      <c r="Q14" s="40" t="s">
        <v>1097</v>
      </c>
      <c r="R14" s="31"/>
      <c r="S14" s="73"/>
      <c r="T14" s="15"/>
      <c r="U14" s="15"/>
      <c r="V14" s="15"/>
      <c r="W14" s="15"/>
      <c r="X14" s="15"/>
      <c r="Y14" s="15"/>
      <c r="Z14" s="15"/>
    </row>
    <row r="15" spans="1:26" ht="22.5" customHeight="1">
      <c r="A15" s="26">
        <v>6</v>
      </c>
      <c r="B15" s="26" t="s">
        <v>469</v>
      </c>
      <c r="C15" s="26">
        <v>62</v>
      </c>
      <c r="D15" s="29" t="s">
        <v>997</v>
      </c>
      <c r="E15" s="31">
        <v>626</v>
      </c>
      <c r="F15" s="31" t="s">
        <v>1091</v>
      </c>
      <c r="G15" s="56" t="s">
        <v>1093</v>
      </c>
      <c r="H15" s="50" t="s">
        <v>1112</v>
      </c>
      <c r="I15" s="32"/>
      <c r="J15" s="31"/>
      <c r="K15" s="36"/>
      <c r="L15" s="31" t="s">
        <v>1096</v>
      </c>
      <c r="M15" s="31"/>
      <c r="N15" s="32"/>
      <c r="O15" s="42" t="s">
        <v>1006</v>
      </c>
      <c r="P15" s="42" t="s">
        <v>1007</v>
      </c>
      <c r="Q15" s="40" t="s">
        <v>1114</v>
      </c>
      <c r="R15" s="31"/>
      <c r="S15" s="73"/>
      <c r="T15" s="15"/>
      <c r="U15" s="15"/>
      <c r="V15" s="15"/>
      <c r="W15" s="15"/>
      <c r="X15" s="15"/>
      <c r="Y15" s="15"/>
      <c r="Z15" s="15"/>
    </row>
    <row r="16" spans="1:26" ht="22.5" customHeight="1">
      <c r="A16" s="26">
        <v>6</v>
      </c>
      <c r="B16" s="26" t="s">
        <v>469</v>
      </c>
      <c r="C16" s="26">
        <v>62</v>
      </c>
      <c r="D16" s="29" t="s">
        <v>997</v>
      </c>
      <c r="E16" s="31">
        <v>627</v>
      </c>
      <c r="F16" s="31" t="s">
        <v>1117</v>
      </c>
      <c r="G16" s="56" t="s">
        <v>1118</v>
      </c>
      <c r="H16" s="50" t="s">
        <v>1119</v>
      </c>
      <c r="I16" s="32"/>
      <c r="J16" s="31"/>
      <c r="K16" s="36"/>
      <c r="L16" s="31" t="s">
        <v>1003</v>
      </c>
      <c r="M16" s="31"/>
      <c r="N16" s="32"/>
      <c r="O16" s="42" t="s">
        <v>1006</v>
      </c>
      <c r="P16" s="70"/>
      <c r="Q16" s="70"/>
      <c r="R16" s="31"/>
      <c r="S16" s="44"/>
      <c r="T16" s="15"/>
      <c r="U16" s="15"/>
      <c r="V16" s="15"/>
      <c r="W16" s="15"/>
      <c r="X16" s="15"/>
      <c r="Y16" s="15"/>
      <c r="Z16" s="15"/>
    </row>
    <row r="17" spans="1:26" ht="22.5" customHeight="1">
      <c r="A17" s="26">
        <v>6</v>
      </c>
      <c r="B17" s="26" t="s">
        <v>469</v>
      </c>
      <c r="C17" s="26">
        <v>62</v>
      </c>
      <c r="D17" s="29" t="s">
        <v>997</v>
      </c>
      <c r="E17" s="31">
        <v>627</v>
      </c>
      <c r="F17" s="31" t="s">
        <v>1117</v>
      </c>
      <c r="G17" s="56" t="s">
        <v>1157</v>
      </c>
      <c r="H17" s="59" t="s">
        <v>1160</v>
      </c>
      <c r="I17" s="32"/>
      <c r="J17" s="31"/>
      <c r="K17" s="36"/>
      <c r="L17" s="31"/>
      <c r="M17" s="31"/>
      <c r="N17" s="32"/>
      <c r="O17" s="42" t="s">
        <v>1006</v>
      </c>
      <c r="P17" s="70"/>
      <c r="Q17" s="70"/>
      <c r="R17" s="31"/>
      <c r="S17" s="44"/>
      <c r="T17" s="15"/>
      <c r="U17" s="15"/>
      <c r="V17" s="15"/>
      <c r="W17" s="15"/>
      <c r="X17" s="15"/>
      <c r="Y17" s="15"/>
      <c r="Z17" s="15"/>
    </row>
    <row r="18" spans="1:26" ht="45" customHeight="1">
      <c r="A18" s="26">
        <v>6</v>
      </c>
      <c r="B18" s="26" t="s">
        <v>469</v>
      </c>
      <c r="C18" s="26">
        <v>62</v>
      </c>
      <c r="D18" s="29" t="s">
        <v>997</v>
      </c>
      <c r="E18" s="31">
        <v>627</v>
      </c>
      <c r="F18" s="31" t="s">
        <v>1117</v>
      </c>
      <c r="G18" s="56" t="s">
        <v>1157</v>
      </c>
      <c r="H18" s="59" t="s">
        <v>1166</v>
      </c>
      <c r="I18" s="52" t="s">
        <v>1166</v>
      </c>
      <c r="J18" s="31"/>
      <c r="K18" s="36"/>
      <c r="L18" s="31"/>
      <c r="M18" s="31"/>
      <c r="N18" s="32"/>
      <c r="O18" s="42" t="s">
        <v>1006</v>
      </c>
      <c r="P18" s="70"/>
      <c r="Q18" s="70"/>
      <c r="R18" s="31"/>
      <c r="S18" s="44"/>
      <c r="T18" s="15"/>
      <c r="U18" s="15"/>
      <c r="V18" s="15"/>
      <c r="W18" s="15"/>
      <c r="X18" s="15"/>
      <c r="Y18" s="15"/>
      <c r="Z18" s="15"/>
    </row>
    <row r="19" spans="1:26" ht="22.5" customHeight="1">
      <c r="A19" s="57"/>
      <c r="B19" s="58"/>
      <c r="C19" s="57"/>
      <c r="D19" s="58"/>
      <c r="E19" s="65"/>
      <c r="F19" s="65"/>
      <c r="G19" s="62"/>
      <c r="H19" s="74"/>
      <c r="I19" s="62"/>
      <c r="J19" s="75"/>
      <c r="K19" s="76"/>
      <c r="L19" s="75"/>
      <c r="M19" s="75"/>
      <c r="N19" s="62"/>
      <c r="O19" s="77"/>
      <c r="P19" s="78"/>
      <c r="Q19" s="78"/>
      <c r="R19" s="77"/>
      <c r="S19" s="79"/>
      <c r="T19" s="15"/>
      <c r="U19" s="15"/>
      <c r="V19" s="15"/>
      <c r="W19" s="15"/>
      <c r="X19" s="15"/>
      <c r="Y19" s="15"/>
      <c r="Z19" s="15"/>
    </row>
    <row r="20" spans="1:26" ht="12.75" customHeight="1">
      <c r="A20" s="47"/>
      <c r="B20" s="47"/>
      <c r="C20" s="47"/>
      <c r="D20" s="47"/>
      <c r="E20" s="47"/>
      <c r="F20" s="47"/>
      <c r="G20" s="47"/>
      <c r="H20" s="63"/>
      <c r="I20" s="57"/>
      <c r="J20" s="79"/>
      <c r="K20" s="76"/>
      <c r="L20" s="80"/>
      <c r="M20" s="81"/>
      <c r="N20" s="82"/>
      <c r="O20" s="75"/>
      <c r="P20" s="75"/>
      <c r="Q20" s="83"/>
      <c r="R20" s="83"/>
      <c r="S20" s="79"/>
      <c r="T20" s="47"/>
      <c r="U20" s="47"/>
      <c r="V20" s="47"/>
      <c r="W20" s="47"/>
      <c r="X20" s="47"/>
      <c r="Y20" s="47"/>
      <c r="Z20" s="47"/>
    </row>
    <row r="21" spans="1:26" ht="12.75" customHeight="1">
      <c r="A21" s="47"/>
      <c r="B21" s="47"/>
      <c r="C21" s="47"/>
      <c r="D21" s="47"/>
      <c r="E21" s="47"/>
      <c r="F21" s="47"/>
      <c r="G21" s="47"/>
      <c r="H21" s="63"/>
      <c r="I21" s="57"/>
      <c r="J21" s="79"/>
      <c r="K21" s="79"/>
      <c r="L21" s="80"/>
      <c r="M21" s="81"/>
      <c r="N21" s="79"/>
      <c r="O21" s="75"/>
      <c r="P21" s="75"/>
      <c r="Q21" s="83"/>
      <c r="R21" s="83"/>
      <c r="S21" s="79"/>
      <c r="T21" s="47"/>
      <c r="U21" s="47"/>
      <c r="V21" s="47"/>
      <c r="W21" s="47"/>
      <c r="X21" s="47"/>
      <c r="Y21" s="47"/>
      <c r="Z21" s="47"/>
    </row>
    <row r="22" spans="1:26" ht="12.75" customHeight="1">
      <c r="A22" s="47"/>
      <c r="B22" s="47"/>
      <c r="C22" s="47"/>
      <c r="D22" s="47"/>
      <c r="E22" s="47"/>
      <c r="F22" s="47"/>
      <c r="G22" s="47"/>
      <c r="H22" s="63"/>
      <c r="I22" s="57"/>
      <c r="J22" s="79"/>
      <c r="K22" s="79"/>
      <c r="L22" s="80"/>
      <c r="M22" s="81"/>
      <c r="N22" s="79"/>
      <c r="O22" s="79"/>
      <c r="P22" s="79"/>
      <c r="Q22" s="83"/>
      <c r="R22" s="83"/>
      <c r="S22" s="79"/>
      <c r="T22" s="47"/>
      <c r="U22" s="47"/>
      <c r="V22" s="47"/>
      <c r="W22" s="47"/>
      <c r="X22" s="47"/>
      <c r="Y22" s="47"/>
      <c r="Z22" s="47"/>
    </row>
    <row r="23" spans="1:26" ht="12.75" customHeight="1">
      <c r="A23" s="47"/>
      <c r="B23" s="47"/>
      <c r="C23" s="47"/>
      <c r="D23" s="47"/>
      <c r="E23" s="47"/>
      <c r="F23" s="47"/>
      <c r="G23" s="47"/>
      <c r="H23" s="63"/>
      <c r="I23" s="57"/>
      <c r="J23" s="79"/>
      <c r="K23" s="79"/>
      <c r="L23" s="80"/>
      <c r="M23" s="81"/>
      <c r="N23" s="79"/>
      <c r="O23" s="79"/>
      <c r="P23" s="79"/>
      <c r="Q23" s="83"/>
      <c r="R23" s="83"/>
      <c r="S23" s="79"/>
      <c r="T23" s="47"/>
      <c r="U23" s="47"/>
      <c r="V23" s="47"/>
      <c r="W23" s="47"/>
      <c r="X23" s="47"/>
      <c r="Y23" s="47"/>
      <c r="Z23" s="47"/>
    </row>
    <row r="24" spans="1:26" ht="12.75" customHeight="1">
      <c r="A24" s="47"/>
      <c r="B24" s="47"/>
      <c r="C24" s="47"/>
      <c r="D24" s="47"/>
      <c r="E24" s="47"/>
      <c r="F24" s="47"/>
      <c r="G24" s="47"/>
      <c r="H24" s="63"/>
      <c r="I24" s="57"/>
      <c r="J24" s="79"/>
      <c r="K24" s="79"/>
      <c r="L24" s="80"/>
      <c r="M24" s="81"/>
      <c r="N24" s="79"/>
      <c r="O24" s="79"/>
      <c r="P24" s="79"/>
      <c r="Q24" s="83"/>
      <c r="R24" s="83"/>
      <c r="S24" s="79"/>
      <c r="T24" s="47"/>
      <c r="U24" s="47"/>
      <c r="V24" s="47"/>
      <c r="W24" s="47"/>
      <c r="X24" s="47"/>
      <c r="Y24" s="47"/>
      <c r="Z24" s="47"/>
    </row>
    <row r="25" spans="1:26" ht="12.75" customHeight="1">
      <c r="A25" s="47"/>
      <c r="B25" s="47"/>
      <c r="C25" s="47"/>
      <c r="D25" s="47"/>
      <c r="E25" s="47"/>
      <c r="F25" s="47"/>
      <c r="G25" s="47"/>
      <c r="H25" s="63"/>
      <c r="I25" s="57"/>
      <c r="J25" s="79"/>
      <c r="K25" s="79"/>
      <c r="L25" s="80"/>
      <c r="M25" s="81"/>
      <c r="N25" s="79"/>
      <c r="O25" s="79"/>
      <c r="P25" s="79"/>
      <c r="Q25" s="83"/>
      <c r="R25" s="83"/>
      <c r="S25" s="79"/>
      <c r="T25" s="47"/>
      <c r="U25" s="47"/>
      <c r="V25" s="47"/>
      <c r="W25" s="47"/>
      <c r="X25" s="47"/>
      <c r="Y25" s="47"/>
      <c r="Z25" s="47"/>
    </row>
    <row r="26" spans="1:26" ht="12.75" customHeight="1">
      <c r="A26" s="47"/>
      <c r="B26" s="47"/>
      <c r="C26" s="47"/>
      <c r="D26" s="47"/>
      <c r="E26" s="47"/>
      <c r="F26" s="47"/>
      <c r="G26" s="47"/>
      <c r="H26" s="63"/>
      <c r="I26" s="57"/>
      <c r="J26" s="79"/>
      <c r="K26" s="79"/>
      <c r="L26" s="80"/>
      <c r="M26" s="81"/>
      <c r="N26" s="79"/>
      <c r="O26" s="79"/>
      <c r="P26" s="79"/>
      <c r="Q26" s="83"/>
      <c r="R26" s="83"/>
      <c r="S26" s="79"/>
      <c r="T26" s="47"/>
      <c r="U26" s="47"/>
      <c r="V26" s="47"/>
      <c r="W26" s="47"/>
      <c r="X26" s="47"/>
      <c r="Y26" s="47"/>
      <c r="Z26" s="47"/>
    </row>
    <row r="27" spans="1:26" ht="12.75" customHeight="1">
      <c r="A27" s="47"/>
      <c r="B27" s="47"/>
      <c r="C27" s="47"/>
      <c r="D27" s="47"/>
      <c r="E27" s="47"/>
      <c r="F27" s="47"/>
      <c r="G27" s="47"/>
      <c r="H27" s="63"/>
      <c r="I27" s="57"/>
      <c r="J27" s="79"/>
      <c r="K27" s="79"/>
      <c r="L27" s="80"/>
      <c r="M27" s="81"/>
      <c r="N27" s="79"/>
      <c r="O27" s="79"/>
      <c r="P27" s="79"/>
      <c r="Q27" s="83"/>
      <c r="R27" s="83"/>
      <c r="S27" s="79"/>
      <c r="T27" s="47"/>
      <c r="U27" s="47"/>
      <c r="V27" s="47"/>
      <c r="W27" s="47"/>
      <c r="X27" s="47"/>
      <c r="Y27" s="47"/>
      <c r="Z27" s="47"/>
    </row>
    <row r="28" spans="1:26" ht="12.75" customHeight="1">
      <c r="A28" s="47"/>
      <c r="B28" s="47"/>
      <c r="C28" s="47"/>
      <c r="D28" s="47"/>
      <c r="E28" s="47"/>
      <c r="F28" s="47"/>
      <c r="G28" s="47"/>
      <c r="H28" s="63"/>
      <c r="I28" s="57"/>
      <c r="J28" s="79"/>
      <c r="K28" s="79"/>
      <c r="L28" s="80"/>
      <c r="M28" s="81"/>
      <c r="N28" s="79"/>
      <c r="O28" s="79"/>
      <c r="P28" s="79"/>
      <c r="Q28" s="83"/>
      <c r="R28" s="83"/>
      <c r="S28" s="79"/>
      <c r="T28" s="47"/>
      <c r="U28" s="47"/>
      <c r="V28" s="47"/>
      <c r="W28" s="47"/>
      <c r="X28" s="47"/>
      <c r="Y28" s="47"/>
      <c r="Z28" s="47"/>
    </row>
    <row r="29" spans="1:26" ht="12.75" customHeight="1">
      <c r="A29" s="47"/>
      <c r="B29" s="47"/>
      <c r="C29" s="47"/>
      <c r="D29" s="47"/>
      <c r="E29" s="47"/>
      <c r="F29" s="47"/>
      <c r="G29" s="47"/>
      <c r="H29" s="63"/>
      <c r="I29" s="57"/>
      <c r="J29" s="79"/>
      <c r="K29" s="79"/>
      <c r="L29" s="80"/>
      <c r="M29" s="81"/>
      <c r="N29" s="79"/>
      <c r="O29" s="79"/>
      <c r="P29" s="79"/>
      <c r="Q29" s="83"/>
      <c r="R29" s="83"/>
      <c r="S29" s="79"/>
      <c r="T29" s="47"/>
      <c r="U29" s="47"/>
      <c r="V29" s="47"/>
      <c r="W29" s="47"/>
      <c r="X29" s="47"/>
      <c r="Y29" s="47"/>
      <c r="Z29" s="47"/>
    </row>
    <row r="30" spans="1:26" ht="12.75" customHeight="1">
      <c r="A30" s="47"/>
      <c r="B30" s="47"/>
      <c r="C30" s="47"/>
      <c r="D30" s="47"/>
      <c r="E30" s="47"/>
      <c r="F30" s="47"/>
      <c r="G30" s="47"/>
      <c r="H30" s="63"/>
      <c r="I30" s="57"/>
      <c r="J30" s="79"/>
      <c r="K30" s="79"/>
      <c r="L30" s="80"/>
      <c r="M30" s="81"/>
      <c r="N30" s="79"/>
      <c r="O30" s="79"/>
      <c r="P30" s="79"/>
      <c r="Q30" s="83"/>
      <c r="R30" s="83"/>
      <c r="S30" s="79"/>
      <c r="T30" s="47"/>
      <c r="U30" s="47"/>
      <c r="V30" s="47"/>
      <c r="W30" s="47"/>
      <c r="X30" s="47"/>
      <c r="Y30" s="47"/>
      <c r="Z30" s="47"/>
    </row>
    <row r="31" spans="1:26" ht="12.75" customHeight="1">
      <c r="A31" s="47"/>
      <c r="B31" s="47"/>
      <c r="C31" s="47"/>
      <c r="D31" s="47"/>
      <c r="E31" s="47"/>
      <c r="F31" s="47"/>
      <c r="G31" s="47"/>
      <c r="H31" s="63"/>
      <c r="I31" s="57"/>
      <c r="J31" s="79"/>
      <c r="K31" s="79"/>
      <c r="L31" s="80"/>
      <c r="M31" s="81"/>
      <c r="N31" s="79"/>
      <c r="O31" s="79"/>
      <c r="P31" s="79"/>
      <c r="Q31" s="83"/>
      <c r="R31" s="83"/>
      <c r="S31" s="79"/>
      <c r="T31" s="47"/>
      <c r="U31" s="47"/>
      <c r="V31" s="47"/>
      <c r="W31" s="47"/>
      <c r="X31" s="47"/>
      <c r="Y31" s="47"/>
      <c r="Z31" s="47"/>
    </row>
    <row r="32" spans="1:26" ht="12.75" customHeight="1">
      <c r="A32" s="47"/>
      <c r="B32" s="47"/>
      <c r="C32" s="47"/>
      <c r="D32" s="47"/>
      <c r="E32" s="47"/>
      <c r="F32" s="47"/>
      <c r="G32" s="47"/>
      <c r="H32" s="63"/>
      <c r="I32" s="57"/>
      <c r="J32" s="79"/>
      <c r="K32" s="79"/>
      <c r="L32" s="80"/>
      <c r="M32" s="81"/>
      <c r="N32" s="79"/>
      <c r="O32" s="79"/>
      <c r="P32" s="79"/>
      <c r="Q32" s="83"/>
      <c r="R32" s="83"/>
      <c r="S32" s="79"/>
      <c r="T32" s="47"/>
      <c r="U32" s="47"/>
      <c r="V32" s="47"/>
      <c r="W32" s="47"/>
      <c r="X32" s="47"/>
      <c r="Y32" s="47"/>
      <c r="Z32" s="47"/>
    </row>
    <row r="33" spans="1:26" ht="12.75" customHeight="1">
      <c r="A33" s="47"/>
      <c r="B33" s="47"/>
      <c r="C33" s="47"/>
      <c r="D33" s="47"/>
      <c r="E33" s="47"/>
      <c r="F33" s="47"/>
      <c r="G33" s="47"/>
      <c r="H33" s="63"/>
      <c r="I33" s="57"/>
      <c r="J33" s="79"/>
      <c r="K33" s="79"/>
      <c r="L33" s="80"/>
      <c r="M33" s="81"/>
      <c r="N33" s="79"/>
      <c r="O33" s="79"/>
      <c r="P33" s="79"/>
      <c r="Q33" s="83"/>
      <c r="R33" s="83"/>
      <c r="S33" s="79"/>
      <c r="T33" s="47"/>
      <c r="U33" s="47"/>
      <c r="V33" s="47"/>
      <c r="W33" s="47"/>
      <c r="X33" s="47"/>
      <c r="Y33" s="47"/>
      <c r="Z33" s="47"/>
    </row>
    <row r="34" spans="1:26" ht="12.75" customHeight="1">
      <c r="A34" s="47"/>
      <c r="B34" s="47"/>
      <c r="C34" s="47"/>
      <c r="D34" s="47"/>
      <c r="E34" s="47"/>
      <c r="F34" s="47"/>
      <c r="G34" s="47"/>
      <c r="H34" s="63"/>
      <c r="I34" s="57"/>
      <c r="J34" s="79"/>
      <c r="K34" s="79"/>
      <c r="L34" s="80"/>
      <c r="M34" s="81"/>
      <c r="N34" s="79"/>
      <c r="O34" s="79"/>
      <c r="P34" s="79"/>
      <c r="Q34" s="83"/>
      <c r="R34" s="83"/>
      <c r="S34" s="79"/>
      <c r="T34" s="47"/>
      <c r="U34" s="47"/>
      <c r="V34" s="47"/>
      <c r="W34" s="47"/>
      <c r="X34" s="47"/>
      <c r="Y34" s="47"/>
      <c r="Z34" s="47"/>
    </row>
    <row r="35" spans="1:26" ht="12.75" customHeight="1">
      <c r="A35" s="47"/>
      <c r="B35" s="47"/>
      <c r="C35" s="47"/>
      <c r="D35" s="47"/>
      <c r="E35" s="47"/>
      <c r="F35" s="47"/>
      <c r="G35" s="47"/>
      <c r="H35" s="63"/>
      <c r="I35" s="57"/>
      <c r="J35" s="79"/>
      <c r="K35" s="79"/>
      <c r="L35" s="80"/>
      <c r="M35" s="81"/>
      <c r="N35" s="79"/>
      <c r="O35" s="79"/>
      <c r="P35" s="79"/>
      <c r="Q35" s="83"/>
      <c r="R35" s="83"/>
      <c r="S35" s="79"/>
      <c r="T35" s="47"/>
      <c r="U35" s="47"/>
      <c r="V35" s="47"/>
      <c r="W35" s="47"/>
      <c r="X35" s="47"/>
      <c r="Y35" s="47"/>
      <c r="Z35" s="47"/>
    </row>
    <row r="36" spans="1:26" ht="12.75" customHeight="1">
      <c r="A36" s="47"/>
      <c r="B36" s="47"/>
      <c r="C36" s="47"/>
      <c r="D36" s="47"/>
      <c r="E36" s="47"/>
      <c r="F36" s="47"/>
      <c r="G36" s="47"/>
      <c r="H36" s="63"/>
      <c r="I36" s="57"/>
      <c r="J36" s="79"/>
      <c r="K36" s="79"/>
      <c r="L36" s="80"/>
      <c r="M36" s="81"/>
      <c r="N36" s="79"/>
      <c r="O36" s="79"/>
      <c r="P36" s="79"/>
      <c r="Q36" s="83"/>
      <c r="R36" s="83"/>
      <c r="S36" s="79"/>
      <c r="T36" s="47"/>
      <c r="U36" s="47"/>
      <c r="V36" s="47"/>
      <c r="W36" s="47"/>
      <c r="X36" s="47"/>
      <c r="Y36" s="47"/>
      <c r="Z36" s="47"/>
    </row>
    <row r="37" spans="1:26" ht="12.75" customHeight="1">
      <c r="A37" s="47"/>
      <c r="B37" s="47"/>
      <c r="C37" s="47"/>
      <c r="D37" s="47"/>
      <c r="E37" s="47"/>
      <c r="F37" s="47"/>
      <c r="G37" s="47"/>
      <c r="H37" s="63"/>
      <c r="I37" s="57"/>
      <c r="J37" s="79"/>
      <c r="K37" s="79"/>
      <c r="L37" s="80"/>
      <c r="M37" s="81"/>
      <c r="N37" s="79"/>
      <c r="O37" s="79"/>
      <c r="P37" s="79"/>
      <c r="Q37" s="83"/>
      <c r="R37" s="83"/>
      <c r="S37" s="79"/>
      <c r="T37" s="47"/>
      <c r="U37" s="47"/>
      <c r="V37" s="47"/>
      <c r="W37" s="47"/>
      <c r="X37" s="47"/>
      <c r="Y37" s="47"/>
      <c r="Z37" s="47"/>
    </row>
    <row r="38" spans="1:26" ht="12.75" customHeight="1">
      <c r="A38" s="47"/>
      <c r="B38" s="47"/>
      <c r="C38" s="47"/>
      <c r="D38" s="47"/>
      <c r="E38" s="47"/>
      <c r="F38" s="47"/>
      <c r="G38" s="47"/>
      <c r="H38" s="63"/>
      <c r="I38" s="57"/>
      <c r="J38" s="79"/>
      <c r="K38" s="79"/>
      <c r="L38" s="80"/>
      <c r="M38" s="81"/>
      <c r="N38" s="79"/>
      <c r="O38" s="79"/>
      <c r="P38" s="79"/>
      <c r="Q38" s="83"/>
      <c r="R38" s="83"/>
      <c r="S38" s="79"/>
      <c r="T38" s="47"/>
      <c r="U38" s="47"/>
      <c r="V38" s="47"/>
      <c r="W38" s="47"/>
      <c r="X38" s="47"/>
      <c r="Y38" s="47"/>
      <c r="Z38" s="47"/>
    </row>
    <row r="39" spans="1:26" ht="12.75" customHeight="1">
      <c r="A39" s="47"/>
      <c r="B39" s="47"/>
      <c r="C39" s="47"/>
      <c r="D39" s="47"/>
      <c r="E39" s="47"/>
      <c r="F39" s="47"/>
      <c r="G39" s="47"/>
      <c r="H39" s="63"/>
      <c r="I39" s="57"/>
      <c r="J39" s="79"/>
      <c r="K39" s="79"/>
      <c r="L39" s="80"/>
      <c r="M39" s="81"/>
      <c r="N39" s="79"/>
      <c r="O39" s="79"/>
      <c r="P39" s="79"/>
      <c r="Q39" s="83"/>
      <c r="R39" s="83"/>
      <c r="S39" s="79"/>
      <c r="T39" s="47"/>
      <c r="U39" s="47"/>
      <c r="V39" s="47"/>
      <c r="W39" s="47"/>
      <c r="X39" s="47"/>
      <c r="Y39" s="47"/>
      <c r="Z39" s="47"/>
    </row>
    <row r="40" spans="1:26" ht="12.75" customHeight="1">
      <c r="A40" s="47"/>
      <c r="B40" s="47"/>
      <c r="C40" s="47"/>
      <c r="D40" s="47"/>
      <c r="E40" s="47"/>
      <c r="F40" s="47"/>
      <c r="G40" s="47"/>
      <c r="H40" s="63"/>
      <c r="I40" s="57"/>
      <c r="J40" s="79"/>
      <c r="K40" s="79"/>
      <c r="L40" s="80"/>
      <c r="M40" s="81"/>
      <c r="N40" s="79"/>
      <c r="O40" s="79"/>
      <c r="P40" s="79"/>
      <c r="Q40" s="83"/>
      <c r="R40" s="83"/>
      <c r="S40" s="79"/>
      <c r="T40" s="47"/>
      <c r="U40" s="47"/>
      <c r="V40" s="47"/>
      <c r="W40" s="47"/>
      <c r="X40" s="47"/>
      <c r="Y40" s="47"/>
      <c r="Z40" s="47"/>
    </row>
    <row r="41" spans="1:26" ht="12.75" customHeight="1">
      <c r="A41" s="47"/>
      <c r="B41" s="47"/>
      <c r="C41" s="47"/>
      <c r="D41" s="47"/>
      <c r="E41" s="47"/>
      <c r="F41" s="47"/>
      <c r="G41" s="47"/>
      <c r="H41" s="63"/>
      <c r="I41" s="57"/>
      <c r="J41" s="79"/>
      <c r="K41" s="79"/>
      <c r="L41" s="80"/>
      <c r="M41" s="81"/>
      <c r="N41" s="79"/>
      <c r="O41" s="79"/>
      <c r="P41" s="79"/>
      <c r="Q41" s="83"/>
      <c r="R41" s="83"/>
      <c r="S41" s="79"/>
      <c r="T41" s="47"/>
      <c r="U41" s="47"/>
      <c r="V41" s="47"/>
      <c r="W41" s="47"/>
      <c r="X41" s="47"/>
      <c r="Y41" s="47"/>
      <c r="Z41" s="47"/>
    </row>
    <row r="42" spans="1:26" ht="12.75" customHeight="1">
      <c r="A42" s="47"/>
      <c r="B42" s="47"/>
      <c r="C42" s="47"/>
      <c r="D42" s="47"/>
      <c r="E42" s="47"/>
      <c r="F42" s="47"/>
      <c r="G42" s="47"/>
      <c r="H42" s="63"/>
      <c r="I42" s="57"/>
      <c r="J42" s="79"/>
      <c r="K42" s="79"/>
      <c r="L42" s="80"/>
      <c r="M42" s="81"/>
      <c r="N42" s="79"/>
      <c r="O42" s="79"/>
      <c r="P42" s="79"/>
      <c r="Q42" s="83"/>
      <c r="R42" s="83"/>
      <c r="S42" s="79"/>
      <c r="T42" s="47"/>
      <c r="U42" s="47"/>
      <c r="V42" s="47"/>
      <c r="W42" s="47"/>
      <c r="X42" s="47"/>
      <c r="Y42" s="47"/>
      <c r="Z42" s="47"/>
    </row>
    <row r="43" spans="1:26" ht="12.75" customHeight="1">
      <c r="A43" s="47"/>
      <c r="B43" s="47"/>
      <c r="C43" s="47"/>
      <c r="D43" s="47"/>
      <c r="E43" s="47"/>
      <c r="F43" s="47"/>
      <c r="G43" s="47"/>
      <c r="H43" s="63"/>
      <c r="I43" s="57"/>
      <c r="J43" s="79"/>
      <c r="K43" s="79"/>
      <c r="L43" s="80"/>
      <c r="M43" s="81"/>
      <c r="N43" s="79"/>
      <c r="O43" s="79"/>
      <c r="P43" s="79"/>
      <c r="Q43" s="83"/>
      <c r="R43" s="83"/>
      <c r="S43" s="79"/>
      <c r="T43" s="47"/>
      <c r="U43" s="47"/>
      <c r="V43" s="47"/>
      <c r="W43" s="47"/>
      <c r="X43" s="47"/>
      <c r="Y43" s="47"/>
      <c r="Z43" s="47"/>
    </row>
    <row r="44" spans="1:26" ht="12.75" customHeight="1">
      <c r="A44" s="47"/>
      <c r="B44" s="47"/>
      <c r="C44" s="47"/>
      <c r="D44" s="47"/>
      <c r="E44" s="47"/>
      <c r="F44" s="47"/>
      <c r="G44" s="47"/>
      <c r="H44" s="63"/>
      <c r="I44" s="57"/>
      <c r="J44" s="79"/>
      <c r="K44" s="79"/>
      <c r="L44" s="80"/>
      <c r="M44" s="81"/>
      <c r="N44" s="79"/>
      <c r="O44" s="79"/>
      <c r="P44" s="79"/>
      <c r="Q44" s="83"/>
      <c r="R44" s="83"/>
      <c r="S44" s="79"/>
      <c r="T44" s="47"/>
      <c r="U44" s="47"/>
      <c r="V44" s="47"/>
      <c r="W44" s="47"/>
      <c r="X44" s="47"/>
      <c r="Y44" s="47"/>
      <c r="Z44" s="47"/>
    </row>
    <row r="45" spans="1:26" ht="12.75" customHeight="1">
      <c r="A45" s="47"/>
      <c r="B45" s="47"/>
      <c r="C45" s="47"/>
      <c r="D45" s="47"/>
      <c r="E45" s="47"/>
      <c r="F45" s="47"/>
      <c r="G45" s="47"/>
      <c r="H45" s="63"/>
      <c r="I45" s="57"/>
      <c r="J45" s="79"/>
      <c r="K45" s="79"/>
      <c r="L45" s="80"/>
      <c r="M45" s="81"/>
      <c r="N45" s="79"/>
      <c r="O45" s="79"/>
      <c r="P45" s="79"/>
      <c r="Q45" s="83"/>
      <c r="R45" s="83"/>
      <c r="S45" s="79"/>
      <c r="T45" s="47"/>
      <c r="U45" s="47"/>
      <c r="V45" s="47"/>
      <c r="W45" s="47"/>
      <c r="X45" s="47"/>
      <c r="Y45" s="47"/>
      <c r="Z45" s="47"/>
    </row>
    <row r="46" spans="1:26" ht="12.75" customHeight="1">
      <c r="A46" s="47"/>
      <c r="B46" s="47"/>
      <c r="C46" s="47"/>
      <c r="D46" s="47"/>
      <c r="E46" s="47"/>
      <c r="F46" s="47"/>
      <c r="G46" s="47"/>
      <c r="H46" s="63"/>
      <c r="I46" s="57"/>
      <c r="J46" s="79"/>
      <c r="K46" s="79"/>
      <c r="L46" s="80"/>
      <c r="M46" s="81"/>
      <c r="N46" s="79"/>
      <c r="O46" s="79"/>
      <c r="P46" s="79"/>
      <c r="Q46" s="83"/>
      <c r="R46" s="83"/>
      <c r="S46" s="79"/>
      <c r="T46" s="47"/>
      <c r="U46" s="47"/>
      <c r="V46" s="47"/>
      <c r="W46" s="47"/>
      <c r="X46" s="47"/>
      <c r="Y46" s="47"/>
      <c r="Z46" s="47"/>
    </row>
    <row r="47" spans="1:26" ht="12.75" customHeight="1">
      <c r="A47" s="47"/>
      <c r="B47" s="47"/>
      <c r="C47" s="47"/>
      <c r="D47" s="47"/>
      <c r="E47" s="47"/>
      <c r="F47" s="47"/>
      <c r="G47" s="47"/>
      <c r="H47" s="63"/>
      <c r="I47" s="57"/>
      <c r="J47" s="79"/>
      <c r="K47" s="79"/>
      <c r="L47" s="80"/>
      <c r="M47" s="81"/>
      <c r="N47" s="79"/>
      <c r="O47" s="79"/>
      <c r="P47" s="79"/>
      <c r="Q47" s="83"/>
      <c r="R47" s="83"/>
      <c r="S47" s="79"/>
      <c r="T47" s="47"/>
      <c r="U47" s="47"/>
      <c r="V47" s="47"/>
      <c r="W47" s="47"/>
      <c r="X47" s="47"/>
      <c r="Y47" s="47"/>
      <c r="Z47" s="47"/>
    </row>
    <row r="48" spans="1:26" ht="12.75" customHeight="1">
      <c r="A48" s="47"/>
      <c r="B48" s="47"/>
      <c r="C48" s="47"/>
      <c r="D48" s="47"/>
      <c r="E48" s="47"/>
      <c r="F48" s="47"/>
      <c r="G48" s="47"/>
      <c r="H48" s="63"/>
      <c r="I48" s="57"/>
      <c r="J48" s="79"/>
      <c r="K48" s="79"/>
      <c r="L48" s="80"/>
      <c r="M48" s="81"/>
      <c r="N48" s="79"/>
      <c r="O48" s="79"/>
      <c r="P48" s="79"/>
      <c r="Q48" s="83"/>
      <c r="R48" s="83"/>
      <c r="S48" s="79"/>
      <c r="T48" s="47"/>
      <c r="U48" s="47"/>
      <c r="V48" s="47"/>
      <c r="W48" s="47"/>
      <c r="X48" s="47"/>
      <c r="Y48" s="47"/>
      <c r="Z48" s="47"/>
    </row>
    <row r="49" spans="1:26" ht="12.75" customHeight="1">
      <c r="A49" s="47"/>
      <c r="B49" s="47"/>
      <c r="C49" s="47"/>
      <c r="D49" s="47"/>
      <c r="E49" s="47"/>
      <c r="F49" s="47"/>
      <c r="G49" s="47"/>
      <c r="H49" s="63"/>
      <c r="I49" s="57"/>
      <c r="J49" s="79"/>
      <c r="K49" s="79"/>
      <c r="L49" s="80"/>
      <c r="M49" s="81"/>
      <c r="N49" s="79"/>
      <c r="O49" s="79"/>
      <c r="P49" s="79"/>
      <c r="Q49" s="83"/>
      <c r="R49" s="83"/>
      <c r="S49" s="79"/>
      <c r="T49" s="47"/>
      <c r="U49" s="47"/>
      <c r="V49" s="47"/>
      <c r="W49" s="47"/>
      <c r="X49" s="47"/>
      <c r="Y49" s="47"/>
      <c r="Z49" s="47"/>
    </row>
    <row r="50" spans="1:26" ht="12.75" customHeight="1">
      <c r="A50" s="47"/>
      <c r="B50" s="47"/>
      <c r="C50" s="47"/>
      <c r="D50" s="47"/>
      <c r="E50" s="47"/>
      <c r="F50" s="47"/>
      <c r="G50" s="47"/>
      <c r="H50" s="63"/>
      <c r="I50" s="57"/>
      <c r="J50" s="79"/>
      <c r="K50" s="79"/>
      <c r="L50" s="80"/>
      <c r="M50" s="81"/>
      <c r="N50" s="79"/>
      <c r="O50" s="79"/>
      <c r="P50" s="79"/>
      <c r="Q50" s="83"/>
      <c r="R50" s="83"/>
      <c r="S50" s="79"/>
      <c r="T50" s="47"/>
      <c r="U50" s="47"/>
      <c r="V50" s="47"/>
      <c r="W50" s="47"/>
      <c r="X50" s="47"/>
      <c r="Y50" s="47"/>
      <c r="Z50" s="47"/>
    </row>
    <row r="51" spans="1:26" ht="12.75" customHeight="1">
      <c r="A51" s="47"/>
      <c r="B51" s="47"/>
      <c r="C51" s="47"/>
      <c r="D51" s="47"/>
      <c r="E51" s="47"/>
      <c r="F51" s="47"/>
      <c r="G51" s="47"/>
      <c r="H51" s="63"/>
      <c r="I51" s="57"/>
      <c r="J51" s="79"/>
      <c r="K51" s="79"/>
      <c r="L51" s="80"/>
      <c r="M51" s="81"/>
      <c r="N51" s="79"/>
      <c r="O51" s="79"/>
      <c r="P51" s="79"/>
      <c r="Q51" s="83"/>
      <c r="R51" s="83"/>
      <c r="S51" s="79"/>
      <c r="T51" s="47"/>
      <c r="U51" s="47"/>
      <c r="V51" s="47"/>
      <c r="W51" s="47"/>
      <c r="X51" s="47"/>
      <c r="Y51" s="47"/>
      <c r="Z51" s="47"/>
    </row>
    <row r="52" spans="1:26" ht="12.75" customHeight="1">
      <c r="A52" s="47"/>
      <c r="B52" s="47"/>
      <c r="C52" s="47"/>
      <c r="D52" s="47"/>
      <c r="E52" s="47"/>
      <c r="F52" s="47"/>
      <c r="G52" s="47"/>
      <c r="H52" s="63"/>
      <c r="I52" s="57"/>
      <c r="J52" s="79"/>
      <c r="K52" s="79"/>
      <c r="L52" s="80"/>
      <c r="M52" s="81"/>
      <c r="N52" s="79"/>
      <c r="O52" s="79"/>
      <c r="P52" s="79"/>
      <c r="Q52" s="83"/>
      <c r="R52" s="83"/>
      <c r="S52" s="79"/>
      <c r="T52" s="47"/>
      <c r="U52" s="47"/>
      <c r="V52" s="47"/>
      <c r="W52" s="47"/>
      <c r="X52" s="47"/>
      <c r="Y52" s="47"/>
      <c r="Z52" s="47"/>
    </row>
    <row r="53" spans="1:26" ht="12.75" customHeight="1">
      <c r="A53" s="47"/>
      <c r="B53" s="47"/>
      <c r="C53" s="47"/>
      <c r="D53" s="47"/>
      <c r="E53" s="47"/>
      <c r="F53" s="47"/>
      <c r="G53" s="47"/>
      <c r="H53" s="63"/>
      <c r="I53" s="57"/>
      <c r="J53" s="79"/>
      <c r="K53" s="79"/>
      <c r="L53" s="80"/>
      <c r="M53" s="81"/>
      <c r="N53" s="79"/>
      <c r="O53" s="79"/>
      <c r="P53" s="79"/>
      <c r="Q53" s="83"/>
      <c r="R53" s="83"/>
      <c r="S53" s="79"/>
      <c r="T53" s="47"/>
      <c r="U53" s="47"/>
      <c r="V53" s="47"/>
      <c r="W53" s="47"/>
      <c r="X53" s="47"/>
      <c r="Y53" s="47"/>
      <c r="Z53" s="47"/>
    </row>
    <row r="54" spans="1:26" ht="12.75" customHeight="1">
      <c r="A54" s="47"/>
      <c r="B54" s="47"/>
      <c r="C54" s="47"/>
      <c r="D54" s="47"/>
      <c r="E54" s="47"/>
      <c r="F54" s="47"/>
      <c r="G54" s="47"/>
      <c r="H54" s="63"/>
      <c r="I54" s="57"/>
      <c r="J54" s="79"/>
      <c r="K54" s="79"/>
      <c r="L54" s="80"/>
      <c r="M54" s="81"/>
      <c r="N54" s="79"/>
      <c r="O54" s="79"/>
      <c r="P54" s="79"/>
      <c r="Q54" s="83"/>
      <c r="R54" s="83"/>
      <c r="S54" s="79"/>
      <c r="T54" s="47"/>
      <c r="U54" s="47"/>
      <c r="V54" s="47"/>
      <c r="W54" s="47"/>
      <c r="X54" s="47"/>
      <c r="Y54" s="47"/>
      <c r="Z54" s="47"/>
    </row>
    <row r="55" spans="1:26" ht="12.75" customHeight="1">
      <c r="A55" s="47"/>
      <c r="B55" s="47"/>
      <c r="C55" s="47"/>
      <c r="D55" s="47"/>
      <c r="E55" s="47"/>
      <c r="F55" s="47"/>
      <c r="G55" s="47"/>
      <c r="H55" s="63"/>
      <c r="I55" s="57"/>
      <c r="J55" s="79"/>
      <c r="K55" s="79"/>
      <c r="L55" s="80"/>
      <c r="M55" s="81"/>
      <c r="N55" s="79"/>
      <c r="O55" s="79"/>
      <c r="P55" s="79"/>
      <c r="Q55" s="83"/>
      <c r="R55" s="83"/>
      <c r="S55" s="79"/>
      <c r="T55" s="47"/>
      <c r="U55" s="47"/>
      <c r="V55" s="47"/>
      <c r="W55" s="47"/>
      <c r="X55" s="47"/>
      <c r="Y55" s="47"/>
      <c r="Z55" s="47"/>
    </row>
    <row r="56" spans="1:26" ht="12.75" customHeight="1">
      <c r="A56" s="47"/>
      <c r="B56" s="47"/>
      <c r="C56" s="47"/>
      <c r="D56" s="47"/>
      <c r="E56" s="47"/>
      <c r="F56" s="47"/>
      <c r="G56" s="47"/>
      <c r="H56" s="63"/>
      <c r="I56" s="57"/>
      <c r="J56" s="79"/>
      <c r="K56" s="79"/>
      <c r="L56" s="80"/>
      <c r="M56" s="81"/>
      <c r="N56" s="79"/>
      <c r="O56" s="79"/>
      <c r="P56" s="79"/>
      <c r="Q56" s="83"/>
      <c r="R56" s="83"/>
      <c r="S56" s="79"/>
      <c r="T56" s="47"/>
      <c r="U56" s="47"/>
      <c r="V56" s="47"/>
      <c r="W56" s="47"/>
      <c r="X56" s="47"/>
      <c r="Y56" s="47"/>
      <c r="Z56" s="47"/>
    </row>
    <row r="57" spans="1:26" ht="12.75" customHeight="1">
      <c r="A57" s="47"/>
      <c r="B57" s="47"/>
      <c r="C57" s="47"/>
      <c r="D57" s="47"/>
      <c r="E57" s="47"/>
      <c r="F57" s="47"/>
      <c r="G57" s="47"/>
      <c r="H57" s="63"/>
      <c r="I57" s="57"/>
      <c r="J57" s="79"/>
      <c r="K57" s="79"/>
      <c r="L57" s="80"/>
      <c r="M57" s="81"/>
      <c r="N57" s="79"/>
      <c r="O57" s="79"/>
      <c r="P57" s="79"/>
      <c r="Q57" s="83"/>
      <c r="R57" s="83"/>
      <c r="S57" s="79"/>
      <c r="T57" s="47"/>
      <c r="U57" s="47"/>
      <c r="V57" s="47"/>
      <c r="W57" s="47"/>
      <c r="X57" s="47"/>
      <c r="Y57" s="47"/>
      <c r="Z57" s="47"/>
    </row>
    <row r="58" spans="1:26" ht="12.75" customHeight="1">
      <c r="A58" s="47"/>
      <c r="B58" s="47"/>
      <c r="C58" s="47"/>
      <c r="D58" s="47"/>
      <c r="E58" s="47"/>
      <c r="F58" s="47"/>
      <c r="G58" s="47"/>
      <c r="H58" s="63"/>
      <c r="I58" s="57"/>
      <c r="J58" s="79"/>
      <c r="K58" s="79"/>
      <c r="L58" s="80"/>
      <c r="M58" s="81"/>
      <c r="N58" s="79"/>
      <c r="O58" s="79"/>
      <c r="P58" s="79"/>
      <c r="Q58" s="83"/>
      <c r="R58" s="83"/>
      <c r="S58" s="79"/>
      <c r="T58" s="47"/>
      <c r="U58" s="47"/>
      <c r="V58" s="47"/>
      <c r="W58" s="47"/>
      <c r="X58" s="47"/>
      <c r="Y58" s="47"/>
      <c r="Z58" s="47"/>
    </row>
    <row r="59" spans="1:26" ht="12.75" customHeight="1">
      <c r="A59" s="47"/>
      <c r="B59" s="47"/>
      <c r="C59" s="47"/>
      <c r="D59" s="47"/>
      <c r="E59" s="47"/>
      <c r="F59" s="47"/>
      <c r="G59" s="47"/>
      <c r="H59" s="63"/>
      <c r="I59" s="57"/>
      <c r="J59" s="79"/>
      <c r="K59" s="79"/>
      <c r="L59" s="80"/>
      <c r="M59" s="81"/>
      <c r="N59" s="79"/>
      <c r="O59" s="79"/>
      <c r="P59" s="79"/>
      <c r="Q59" s="83"/>
      <c r="R59" s="83"/>
      <c r="S59" s="79"/>
      <c r="T59" s="47"/>
      <c r="U59" s="47"/>
      <c r="V59" s="47"/>
      <c r="W59" s="47"/>
      <c r="X59" s="47"/>
      <c r="Y59" s="47"/>
      <c r="Z59" s="47"/>
    </row>
    <row r="60" spans="1:26" ht="12.75" customHeight="1">
      <c r="A60" s="47"/>
      <c r="B60" s="47"/>
      <c r="C60" s="47"/>
      <c r="D60" s="47"/>
      <c r="E60" s="47"/>
      <c r="F60" s="47"/>
      <c r="G60" s="47"/>
      <c r="H60" s="63"/>
      <c r="I60" s="57"/>
      <c r="J60" s="79"/>
      <c r="K60" s="79"/>
      <c r="L60" s="80"/>
      <c r="M60" s="81"/>
      <c r="N60" s="79"/>
      <c r="O60" s="79"/>
      <c r="P60" s="79"/>
      <c r="Q60" s="83"/>
      <c r="R60" s="83"/>
      <c r="S60" s="79"/>
      <c r="T60" s="47"/>
      <c r="U60" s="47"/>
      <c r="V60" s="47"/>
      <c r="W60" s="47"/>
      <c r="X60" s="47"/>
      <c r="Y60" s="47"/>
      <c r="Z60" s="47"/>
    </row>
    <row r="61" spans="1:26" ht="12.75" customHeight="1">
      <c r="A61" s="47"/>
      <c r="B61" s="47"/>
      <c r="C61" s="47"/>
      <c r="D61" s="47"/>
      <c r="E61" s="47"/>
      <c r="F61" s="47"/>
      <c r="G61" s="47"/>
      <c r="H61" s="63"/>
      <c r="I61" s="57"/>
      <c r="J61" s="79"/>
      <c r="K61" s="79"/>
      <c r="L61" s="80"/>
      <c r="M61" s="81"/>
      <c r="N61" s="79"/>
      <c r="O61" s="79"/>
      <c r="P61" s="79"/>
      <c r="Q61" s="83"/>
      <c r="R61" s="83"/>
      <c r="S61" s="79"/>
      <c r="T61" s="47"/>
      <c r="U61" s="47"/>
      <c r="V61" s="47"/>
      <c r="W61" s="47"/>
      <c r="X61" s="47"/>
      <c r="Y61" s="47"/>
      <c r="Z61" s="47"/>
    </row>
    <row r="62" spans="1:26" ht="12.75" customHeight="1">
      <c r="A62" s="47"/>
      <c r="B62" s="47"/>
      <c r="C62" s="47"/>
      <c r="D62" s="47"/>
      <c r="E62" s="47"/>
      <c r="F62" s="47"/>
      <c r="G62" s="47"/>
      <c r="H62" s="63"/>
      <c r="I62" s="57"/>
      <c r="J62" s="79"/>
      <c r="K62" s="79"/>
      <c r="L62" s="80"/>
      <c r="M62" s="81"/>
      <c r="N62" s="79"/>
      <c r="O62" s="79"/>
      <c r="P62" s="79"/>
      <c r="Q62" s="83"/>
      <c r="R62" s="83"/>
      <c r="S62" s="79"/>
      <c r="T62" s="47"/>
      <c r="U62" s="47"/>
      <c r="V62" s="47"/>
      <c r="W62" s="47"/>
      <c r="X62" s="47"/>
      <c r="Y62" s="47"/>
      <c r="Z62" s="47"/>
    </row>
    <row r="63" spans="1:26" ht="12.75" customHeight="1">
      <c r="A63" s="47"/>
      <c r="B63" s="47"/>
      <c r="C63" s="47"/>
      <c r="D63" s="47"/>
      <c r="E63" s="47"/>
      <c r="F63" s="47"/>
      <c r="G63" s="47"/>
      <c r="H63" s="63"/>
      <c r="I63" s="57"/>
      <c r="J63" s="79"/>
      <c r="K63" s="79"/>
      <c r="L63" s="80"/>
      <c r="M63" s="81"/>
      <c r="N63" s="79"/>
      <c r="O63" s="79"/>
      <c r="P63" s="79"/>
      <c r="Q63" s="83"/>
      <c r="R63" s="83"/>
      <c r="S63" s="79"/>
      <c r="T63" s="47"/>
      <c r="U63" s="47"/>
      <c r="V63" s="47"/>
      <c r="W63" s="47"/>
      <c r="X63" s="47"/>
      <c r="Y63" s="47"/>
      <c r="Z63" s="47"/>
    </row>
    <row r="64" spans="1:26" ht="12.75" customHeight="1">
      <c r="A64" s="47"/>
      <c r="B64" s="47"/>
      <c r="C64" s="47"/>
      <c r="D64" s="47"/>
      <c r="E64" s="47"/>
      <c r="F64" s="47"/>
      <c r="G64" s="47"/>
      <c r="H64" s="63"/>
      <c r="I64" s="57"/>
      <c r="J64" s="79"/>
      <c r="K64" s="79"/>
      <c r="L64" s="80"/>
      <c r="M64" s="81"/>
      <c r="N64" s="79"/>
      <c r="O64" s="79"/>
      <c r="P64" s="79"/>
      <c r="Q64" s="83"/>
      <c r="R64" s="83"/>
      <c r="S64" s="79"/>
      <c r="T64" s="47"/>
      <c r="U64" s="47"/>
      <c r="V64" s="47"/>
      <c r="W64" s="47"/>
      <c r="X64" s="47"/>
      <c r="Y64" s="47"/>
      <c r="Z64" s="47"/>
    </row>
    <row r="65" spans="1:26" ht="12.75" customHeight="1">
      <c r="A65" s="47"/>
      <c r="B65" s="47"/>
      <c r="C65" s="47"/>
      <c r="D65" s="47"/>
      <c r="E65" s="47"/>
      <c r="F65" s="47"/>
      <c r="G65" s="47"/>
      <c r="H65" s="63"/>
      <c r="I65" s="57"/>
      <c r="J65" s="79"/>
      <c r="K65" s="79"/>
      <c r="L65" s="80"/>
      <c r="M65" s="81"/>
      <c r="N65" s="79"/>
      <c r="O65" s="79"/>
      <c r="P65" s="79"/>
      <c r="Q65" s="83"/>
      <c r="R65" s="83"/>
      <c r="S65" s="79"/>
      <c r="T65" s="47"/>
      <c r="U65" s="47"/>
      <c r="V65" s="47"/>
      <c r="W65" s="47"/>
      <c r="X65" s="47"/>
      <c r="Y65" s="47"/>
      <c r="Z65" s="47"/>
    </row>
    <row r="66" spans="1:26" ht="12.75" customHeight="1">
      <c r="A66" s="47"/>
      <c r="B66" s="47"/>
      <c r="C66" s="47"/>
      <c r="D66" s="47"/>
      <c r="E66" s="47"/>
      <c r="F66" s="47"/>
      <c r="G66" s="47"/>
      <c r="H66" s="63"/>
      <c r="I66" s="57"/>
      <c r="J66" s="79"/>
      <c r="K66" s="79"/>
      <c r="L66" s="80"/>
      <c r="M66" s="81"/>
      <c r="N66" s="79"/>
      <c r="O66" s="79"/>
      <c r="P66" s="79"/>
      <c r="Q66" s="83"/>
      <c r="R66" s="83"/>
      <c r="S66" s="79"/>
      <c r="T66" s="47"/>
      <c r="U66" s="47"/>
      <c r="V66" s="47"/>
      <c r="W66" s="47"/>
      <c r="X66" s="47"/>
      <c r="Y66" s="47"/>
      <c r="Z66" s="47"/>
    </row>
    <row r="67" spans="1:26" ht="12.75" customHeight="1">
      <c r="A67" s="47"/>
      <c r="B67" s="47"/>
      <c r="C67" s="47"/>
      <c r="D67" s="47"/>
      <c r="E67" s="47"/>
      <c r="F67" s="47"/>
      <c r="G67" s="47"/>
      <c r="H67" s="63"/>
      <c r="I67" s="57"/>
      <c r="J67" s="79"/>
      <c r="K67" s="79"/>
      <c r="L67" s="80"/>
      <c r="M67" s="81"/>
      <c r="N67" s="79"/>
      <c r="O67" s="79"/>
      <c r="P67" s="79"/>
      <c r="Q67" s="83"/>
      <c r="R67" s="83"/>
      <c r="S67" s="79"/>
      <c r="T67" s="47"/>
      <c r="U67" s="47"/>
      <c r="V67" s="47"/>
      <c r="W67" s="47"/>
      <c r="X67" s="47"/>
      <c r="Y67" s="47"/>
      <c r="Z67" s="47"/>
    </row>
    <row r="68" spans="1:26" ht="12.75" customHeight="1">
      <c r="A68" s="47"/>
      <c r="B68" s="47"/>
      <c r="C68" s="47"/>
      <c r="D68" s="47"/>
      <c r="E68" s="47"/>
      <c r="F68" s="47"/>
      <c r="G68" s="47"/>
      <c r="H68" s="63"/>
      <c r="I68" s="57"/>
      <c r="J68" s="79"/>
      <c r="K68" s="79"/>
      <c r="L68" s="80"/>
      <c r="M68" s="81"/>
      <c r="N68" s="79"/>
      <c r="O68" s="79"/>
      <c r="P68" s="79"/>
      <c r="Q68" s="83"/>
      <c r="R68" s="83"/>
      <c r="S68" s="79"/>
      <c r="T68" s="47"/>
      <c r="U68" s="47"/>
      <c r="V68" s="47"/>
      <c r="W68" s="47"/>
      <c r="X68" s="47"/>
      <c r="Y68" s="47"/>
      <c r="Z68" s="47"/>
    </row>
    <row r="69" spans="1:26" ht="12.75" customHeight="1">
      <c r="A69" s="47"/>
      <c r="B69" s="47"/>
      <c r="C69" s="47"/>
      <c r="D69" s="47"/>
      <c r="E69" s="47"/>
      <c r="F69" s="47"/>
      <c r="G69" s="47"/>
      <c r="H69" s="63"/>
      <c r="I69" s="57"/>
      <c r="J69" s="79"/>
      <c r="K69" s="79"/>
      <c r="L69" s="80"/>
      <c r="M69" s="81"/>
      <c r="N69" s="79"/>
      <c r="O69" s="79"/>
      <c r="P69" s="79"/>
      <c r="Q69" s="83"/>
      <c r="R69" s="83"/>
      <c r="S69" s="79"/>
      <c r="T69" s="47"/>
      <c r="U69" s="47"/>
      <c r="V69" s="47"/>
      <c r="W69" s="47"/>
      <c r="X69" s="47"/>
      <c r="Y69" s="47"/>
      <c r="Z69" s="47"/>
    </row>
    <row r="70" spans="1:26" ht="12.75" customHeight="1">
      <c r="A70" s="47"/>
      <c r="B70" s="47"/>
      <c r="C70" s="47"/>
      <c r="D70" s="47"/>
      <c r="E70" s="47"/>
      <c r="F70" s="47"/>
      <c r="G70" s="47"/>
      <c r="H70" s="63"/>
      <c r="I70" s="57"/>
      <c r="J70" s="79"/>
      <c r="K70" s="79"/>
      <c r="L70" s="79"/>
      <c r="M70" s="81"/>
      <c r="N70" s="79"/>
      <c r="O70" s="79"/>
      <c r="P70" s="79"/>
      <c r="Q70" s="83"/>
      <c r="R70" s="83"/>
      <c r="S70" s="79"/>
      <c r="T70" s="47"/>
      <c r="U70" s="47"/>
      <c r="V70" s="47"/>
      <c r="W70" s="47"/>
      <c r="X70" s="47"/>
      <c r="Y70" s="47"/>
      <c r="Z70" s="47"/>
    </row>
    <row r="71" spans="1:26" ht="12.75" customHeight="1">
      <c r="A71" s="47"/>
      <c r="B71" s="47"/>
      <c r="C71" s="47"/>
      <c r="D71" s="47"/>
      <c r="E71" s="47"/>
      <c r="F71" s="47"/>
      <c r="G71" s="47"/>
      <c r="H71" s="63"/>
      <c r="I71" s="57"/>
      <c r="J71" s="79"/>
      <c r="K71" s="79"/>
      <c r="L71" s="79"/>
      <c r="M71" s="81"/>
      <c r="N71" s="79"/>
      <c r="O71" s="79"/>
      <c r="P71" s="79"/>
      <c r="Q71" s="83"/>
      <c r="R71" s="83"/>
      <c r="S71" s="79"/>
      <c r="T71" s="47"/>
      <c r="U71" s="47"/>
      <c r="V71" s="47"/>
      <c r="W71" s="47"/>
      <c r="X71" s="47"/>
      <c r="Y71" s="47"/>
      <c r="Z71" s="47"/>
    </row>
    <row r="72" spans="1:26" ht="12.75" customHeight="1">
      <c r="A72" s="47"/>
      <c r="B72" s="47"/>
      <c r="C72" s="47"/>
      <c r="D72" s="47"/>
      <c r="E72" s="47"/>
      <c r="F72" s="47"/>
      <c r="G72" s="47"/>
      <c r="H72" s="63"/>
      <c r="I72" s="57"/>
      <c r="J72" s="79"/>
      <c r="K72" s="79"/>
      <c r="L72" s="79"/>
      <c r="M72" s="81"/>
      <c r="N72" s="79"/>
      <c r="O72" s="79"/>
      <c r="P72" s="79"/>
      <c r="Q72" s="83"/>
      <c r="R72" s="83"/>
      <c r="S72" s="79"/>
      <c r="T72" s="47"/>
      <c r="U72" s="47"/>
      <c r="V72" s="47"/>
      <c r="W72" s="47"/>
      <c r="X72" s="47"/>
      <c r="Y72" s="47"/>
      <c r="Z72" s="47"/>
    </row>
    <row r="73" spans="1:26" ht="12.75" customHeight="1">
      <c r="A73" s="47"/>
      <c r="B73" s="47"/>
      <c r="C73" s="47"/>
      <c r="D73" s="47"/>
      <c r="E73" s="47"/>
      <c r="F73" s="47"/>
      <c r="G73" s="47"/>
      <c r="H73" s="63"/>
      <c r="I73" s="57"/>
      <c r="J73" s="79"/>
      <c r="K73" s="79"/>
      <c r="L73" s="79"/>
      <c r="M73" s="81"/>
      <c r="N73" s="79"/>
      <c r="O73" s="79"/>
      <c r="P73" s="79"/>
      <c r="Q73" s="83"/>
      <c r="R73" s="83"/>
      <c r="S73" s="79"/>
      <c r="T73" s="47"/>
      <c r="U73" s="47"/>
      <c r="V73" s="47"/>
      <c r="W73" s="47"/>
      <c r="X73" s="47"/>
      <c r="Y73" s="47"/>
      <c r="Z73" s="47"/>
    </row>
    <row r="74" spans="1:26" ht="12.75" customHeight="1">
      <c r="A74" s="47"/>
      <c r="B74" s="47"/>
      <c r="C74" s="47"/>
      <c r="D74" s="47"/>
      <c r="E74" s="47"/>
      <c r="F74" s="47"/>
      <c r="G74" s="47"/>
      <c r="H74" s="63"/>
      <c r="I74" s="57"/>
      <c r="J74" s="79"/>
      <c r="K74" s="79"/>
      <c r="L74" s="79"/>
      <c r="M74" s="81"/>
      <c r="N74" s="79"/>
      <c r="O74" s="79"/>
      <c r="P74" s="79"/>
      <c r="Q74" s="83"/>
      <c r="R74" s="83"/>
      <c r="S74" s="79"/>
      <c r="T74" s="47"/>
      <c r="U74" s="47"/>
      <c r="V74" s="47"/>
      <c r="W74" s="47"/>
      <c r="X74" s="47"/>
      <c r="Y74" s="47"/>
      <c r="Z74" s="47"/>
    </row>
    <row r="75" spans="1:26" ht="12.75" customHeight="1">
      <c r="A75" s="47"/>
      <c r="B75" s="47"/>
      <c r="C75" s="47"/>
      <c r="D75" s="47"/>
      <c r="E75" s="47"/>
      <c r="F75" s="47"/>
      <c r="G75" s="47"/>
      <c r="H75" s="63"/>
      <c r="I75" s="57"/>
      <c r="J75" s="79"/>
      <c r="K75" s="79"/>
      <c r="L75" s="79"/>
      <c r="M75" s="81"/>
      <c r="N75" s="79"/>
      <c r="O75" s="79"/>
      <c r="P75" s="79"/>
      <c r="Q75" s="83"/>
      <c r="R75" s="83"/>
      <c r="S75" s="79"/>
      <c r="T75" s="47"/>
      <c r="U75" s="47"/>
      <c r="V75" s="47"/>
      <c r="W75" s="47"/>
      <c r="X75" s="47"/>
      <c r="Y75" s="47"/>
      <c r="Z75" s="47"/>
    </row>
    <row r="76" spans="1:26" ht="12.75" customHeight="1">
      <c r="A76" s="47"/>
      <c r="B76" s="47"/>
      <c r="C76" s="47"/>
      <c r="D76" s="47"/>
      <c r="E76" s="47"/>
      <c r="F76" s="47"/>
      <c r="G76" s="47"/>
      <c r="H76" s="63"/>
      <c r="I76" s="57"/>
      <c r="J76" s="79"/>
      <c r="K76" s="79"/>
      <c r="L76" s="79"/>
      <c r="M76" s="81"/>
      <c r="N76" s="79"/>
      <c r="O76" s="79"/>
      <c r="P76" s="79"/>
      <c r="Q76" s="83"/>
      <c r="R76" s="83"/>
      <c r="S76" s="79"/>
      <c r="T76" s="47"/>
      <c r="U76" s="47"/>
      <c r="V76" s="47"/>
      <c r="W76" s="47"/>
      <c r="X76" s="47"/>
      <c r="Y76" s="47"/>
      <c r="Z76" s="47"/>
    </row>
    <row r="77" spans="1:26" ht="12.75" customHeight="1">
      <c r="A77" s="47"/>
      <c r="B77" s="47"/>
      <c r="C77" s="47"/>
      <c r="D77" s="47"/>
      <c r="E77" s="47"/>
      <c r="F77" s="47"/>
      <c r="G77" s="47"/>
      <c r="H77" s="63"/>
      <c r="I77" s="57"/>
      <c r="J77" s="79"/>
      <c r="K77" s="79"/>
      <c r="L77" s="79"/>
      <c r="M77" s="81"/>
      <c r="N77" s="79"/>
      <c r="O77" s="79"/>
      <c r="P77" s="79"/>
      <c r="Q77" s="83"/>
      <c r="R77" s="83"/>
      <c r="S77" s="79"/>
      <c r="T77" s="47"/>
      <c r="U77" s="47"/>
      <c r="V77" s="47"/>
      <c r="W77" s="47"/>
      <c r="X77" s="47"/>
      <c r="Y77" s="47"/>
      <c r="Z77" s="47"/>
    </row>
    <row r="78" spans="1:26" ht="12.75" customHeight="1">
      <c r="A78" s="47"/>
      <c r="B78" s="47"/>
      <c r="C78" s="47"/>
      <c r="D78" s="47"/>
      <c r="E78" s="47"/>
      <c r="F78" s="47"/>
      <c r="G78" s="47"/>
      <c r="H78" s="63"/>
      <c r="I78" s="57"/>
      <c r="J78" s="79"/>
      <c r="K78" s="79"/>
      <c r="L78" s="79"/>
      <c r="M78" s="81"/>
      <c r="N78" s="79"/>
      <c r="O78" s="79"/>
      <c r="P78" s="79"/>
      <c r="Q78" s="83"/>
      <c r="R78" s="83"/>
      <c r="S78" s="79"/>
      <c r="T78" s="47"/>
      <c r="U78" s="47"/>
      <c r="V78" s="47"/>
      <c r="W78" s="47"/>
      <c r="X78" s="47"/>
      <c r="Y78" s="47"/>
      <c r="Z78" s="47"/>
    </row>
    <row r="79" spans="1:26" ht="12.75" customHeight="1">
      <c r="A79" s="47"/>
      <c r="B79" s="47"/>
      <c r="C79" s="47"/>
      <c r="D79" s="47"/>
      <c r="E79" s="47"/>
      <c r="F79" s="47"/>
      <c r="G79" s="47"/>
      <c r="H79" s="63"/>
      <c r="I79" s="57"/>
      <c r="J79" s="79"/>
      <c r="K79" s="79"/>
      <c r="L79" s="79"/>
      <c r="M79" s="81"/>
      <c r="N79" s="79"/>
      <c r="O79" s="79"/>
      <c r="P79" s="79"/>
      <c r="Q79" s="83"/>
      <c r="R79" s="83"/>
      <c r="S79" s="79"/>
      <c r="T79" s="47"/>
      <c r="U79" s="47"/>
      <c r="V79" s="47"/>
      <c r="W79" s="47"/>
      <c r="X79" s="47"/>
      <c r="Y79" s="47"/>
      <c r="Z79" s="47"/>
    </row>
    <row r="80" spans="1:26" ht="12.75" customHeight="1">
      <c r="A80" s="47"/>
      <c r="B80" s="47"/>
      <c r="C80" s="47"/>
      <c r="D80" s="47"/>
      <c r="E80" s="47"/>
      <c r="F80" s="47"/>
      <c r="G80" s="47"/>
      <c r="H80" s="63"/>
      <c r="I80" s="57"/>
      <c r="J80" s="79"/>
      <c r="K80" s="79"/>
      <c r="L80" s="79"/>
      <c r="M80" s="81"/>
      <c r="N80" s="79"/>
      <c r="O80" s="79"/>
      <c r="P80" s="79"/>
      <c r="Q80" s="83"/>
      <c r="R80" s="83"/>
      <c r="S80" s="79"/>
      <c r="T80" s="47"/>
      <c r="U80" s="47"/>
      <c r="V80" s="47"/>
      <c r="W80" s="47"/>
      <c r="X80" s="47"/>
      <c r="Y80" s="47"/>
      <c r="Z80" s="47"/>
    </row>
    <row r="81" spans="1:26" ht="12.75" customHeight="1">
      <c r="A81" s="47"/>
      <c r="B81" s="47"/>
      <c r="C81" s="47"/>
      <c r="D81" s="47"/>
      <c r="E81" s="47"/>
      <c r="F81" s="47"/>
      <c r="G81" s="47"/>
      <c r="H81" s="63"/>
      <c r="I81" s="57"/>
      <c r="J81" s="79"/>
      <c r="K81" s="79"/>
      <c r="L81" s="79"/>
      <c r="M81" s="81"/>
      <c r="N81" s="79"/>
      <c r="O81" s="79"/>
      <c r="P81" s="79"/>
      <c r="Q81" s="83"/>
      <c r="R81" s="83"/>
      <c r="S81" s="79"/>
      <c r="T81" s="47"/>
      <c r="U81" s="47"/>
      <c r="V81" s="47"/>
      <c r="W81" s="47"/>
      <c r="X81" s="47"/>
      <c r="Y81" s="47"/>
      <c r="Z81" s="47"/>
    </row>
    <row r="82" spans="1:26" ht="12.75" customHeight="1">
      <c r="A82" s="47"/>
      <c r="B82" s="47"/>
      <c r="C82" s="47"/>
      <c r="D82" s="47"/>
      <c r="E82" s="47"/>
      <c r="F82" s="47"/>
      <c r="G82" s="47"/>
      <c r="H82" s="63"/>
      <c r="I82" s="57"/>
      <c r="J82" s="79"/>
      <c r="K82" s="79"/>
      <c r="L82" s="79"/>
      <c r="M82" s="81"/>
      <c r="N82" s="79"/>
      <c r="O82" s="79"/>
      <c r="P82" s="79"/>
      <c r="Q82" s="83"/>
      <c r="R82" s="83"/>
      <c r="S82" s="79"/>
      <c r="T82" s="47"/>
      <c r="U82" s="47"/>
      <c r="V82" s="47"/>
      <c r="W82" s="47"/>
      <c r="X82" s="47"/>
      <c r="Y82" s="47"/>
      <c r="Z82" s="47"/>
    </row>
    <row r="83" spans="1:26" ht="12.75" customHeight="1">
      <c r="A83" s="47"/>
      <c r="B83" s="47"/>
      <c r="C83" s="47"/>
      <c r="D83" s="47"/>
      <c r="E83" s="47"/>
      <c r="F83" s="47"/>
      <c r="G83" s="47"/>
      <c r="H83" s="63"/>
      <c r="I83" s="57"/>
      <c r="J83" s="79"/>
      <c r="K83" s="79"/>
      <c r="L83" s="79"/>
      <c r="M83" s="81"/>
      <c r="N83" s="79"/>
      <c r="O83" s="79"/>
      <c r="P83" s="79"/>
      <c r="Q83" s="83"/>
      <c r="R83" s="83"/>
      <c r="S83" s="79"/>
      <c r="T83" s="47"/>
      <c r="U83" s="47"/>
      <c r="V83" s="47"/>
      <c r="W83" s="47"/>
      <c r="X83" s="47"/>
      <c r="Y83" s="47"/>
      <c r="Z83" s="47"/>
    </row>
    <row r="84" spans="1:26" ht="12.75" customHeight="1">
      <c r="A84" s="47"/>
      <c r="B84" s="47"/>
      <c r="C84" s="47"/>
      <c r="D84" s="47"/>
      <c r="E84" s="47"/>
      <c r="F84" s="47"/>
      <c r="G84" s="47"/>
      <c r="H84" s="63"/>
      <c r="I84" s="57"/>
      <c r="J84" s="79"/>
      <c r="K84" s="79"/>
      <c r="L84" s="79"/>
      <c r="M84" s="81"/>
      <c r="N84" s="79"/>
      <c r="O84" s="79"/>
      <c r="P84" s="79"/>
      <c r="Q84" s="83"/>
      <c r="R84" s="83"/>
      <c r="S84" s="79"/>
      <c r="T84" s="47"/>
      <c r="U84" s="47"/>
      <c r="V84" s="47"/>
      <c r="W84" s="47"/>
      <c r="X84" s="47"/>
      <c r="Y84" s="47"/>
      <c r="Z84" s="47"/>
    </row>
    <row r="85" spans="1:26" ht="12.75" customHeight="1">
      <c r="A85" s="47"/>
      <c r="B85" s="47"/>
      <c r="C85" s="47"/>
      <c r="D85" s="47"/>
      <c r="E85" s="47"/>
      <c r="F85" s="47"/>
      <c r="G85" s="47"/>
      <c r="H85" s="63"/>
      <c r="I85" s="57"/>
      <c r="J85" s="79"/>
      <c r="K85" s="79"/>
      <c r="L85" s="79"/>
      <c r="M85" s="81"/>
      <c r="N85" s="79"/>
      <c r="O85" s="79"/>
      <c r="P85" s="79"/>
      <c r="Q85" s="83"/>
      <c r="R85" s="83"/>
      <c r="S85" s="79"/>
      <c r="T85" s="47"/>
      <c r="U85" s="47"/>
      <c r="V85" s="47"/>
      <c r="W85" s="47"/>
      <c r="X85" s="47"/>
      <c r="Y85" s="47"/>
      <c r="Z85" s="47"/>
    </row>
    <row r="86" spans="1:26" ht="12.75" customHeight="1">
      <c r="A86" s="47"/>
      <c r="B86" s="47"/>
      <c r="C86" s="47"/>
      <c r="D86" s="47"/>
      <c r="E86" s="47"/>
      <c r="F86" s="47"/>
      <c r="G86" s="47"/>
      <c r="H86" s="63"/>
      <c r="I86" s="57"/>
      <c r="J86" s="79"/>
      <c r="K86" s="79"/>
      <c r="L86" s="79"/>
      <c r="M86" s="81"/>
      <c r="N86" s="79"/>
      <c r="O86" s="79"/>
      <c r="P86" s="79"/>
      <c r="Q86" s="79"/>
      <c r="R86" s="79"/>
      <c r="S86" s="79"/>
      <c r="T86" s="47"/>
      <c r="U86" s="47"/>
      <c r="V86" s="47"/>
      <c r="W86" s="47"/>
      <c r="X86" s="47"/>
      <c r="Y86" s="47"/>
      <c r="Z86" s="47"/>
    </row>
    <row r="87" spans="1:26" ht="12.75" customHeight="1">
      <c r="A87" s="47"/>
      <c r="B87" s="47"/>
      <c r="C87" s="47"/>
      <c r="D87" s="47"/>
      <c r="E87" s="47"/>
      <c r="F87" s="47"/>
      <c r="G87" s="47"/>
      <c r="H87" s="63"/>
      <c r="I87" s="57"/>
      <c r="J87" s="79"/>
      <c r="K87" s="79"/>
      <c r="L87" s="79"/>
      <c r="M87" s="81"/>
      <c r="N87" s="79"/>
      <c r="O87" s="79"/>
      <c r="P87" s="79"/>
      <c r="Q87" s="79"/>
      <c r="R87" s="79"/>
      <c r="S87" s="79"/>
      <c r="T87" s="47"/>
      <c r="U87" s="47"/>
      <c r="V87" s="47"/>
      <c r="W87" s="47"/>
      <c r="X87" s="47"/>
      <c r="Y87" s="47"/>
      <c r="Z87" s="47"/>
    </row>
    <row r="88" spans="1:26" ht="12.75" customHeight="1">
      <c r="A88" s="47"/>
      <c r="B88" s="47"/>
      <c r="C88" s="47"/>
      <c r="D88" s="47"/>
      <c r="E88" s="47"/>
      <c r="F88" s="47"/>
      <c r="G88" s="47"/>
      <c r="H88" s="63"/>
      <c r="I88" s="57"/>
      <c r="J88" s="79"/>
      <c r="K88" s="79"/>
      <c r="L88" s="79"/>
      <c r="M88" s="81"/>
      <c r="N88" s="79"/>
      <c r="O88" s="79"/>
      <c r="P88" s="79"/>
      <c r="Q88" s="79"/>
      <c r="R88" s="79"/>
      <c r="S88" s="79"/>
      <c r="T88" s="47"/>
      <c r="U88" s="47"/>
      <c r="V88" s="47"/>
      <c r="W88" s="47"/>
      <c r="X88" s="47"/>
      <c r="Y88" s="47"/>
      <c r="Z88" s="47"/>
    </row>
    <row r="89" spans="1:26" ht="12.75" customHeight="1">
      <c r="A89" s="47"/>
      <c r="B89" s="47"/>
      <c r="C89" s="47"/>
      <c r="D89" s="47"/>
      <c r="E89" s="47"/>
      <c r="F89" s="47"/>
      <c r="G89" s="47"/>
      <c r="H89" s="63"/>
      <c r="I89" s="57"/>
      <c r="J89" s="79"/>
      <c r="K89" s="79"/>
      <c r="L89" s="79"/>
      <c r="M89" s="81"/>
      <c r="N89" s="79"/>
      <c r="O89" s="79"/>
      <c r="P89" s="79"/>
      <c r="Q89" s="79"/>
      <c r="R89" s="79"/>
      <c r="S89" s="79"/>
      <c r="T89" s="47"/>
      <c r="U89" s="47"/>
      <c r="V89" s="47"/>
      <c r="W89" s="47"/>
      <c r="X89" s="47"/>
      <c r="Y89" s="47"/>
      <c r="Z89" s="47"/>
    </row>
    <row r="90" spans="1:26" ht="12.75" customHeight="1">
      <c r="A90" s="47"/>
      <c r="B90" s="47"/>
      <c r="C90" s="47"/>
      <c r="D90" s="47"/>
      <c r="E90" s="47"/>
      <c r="F90" s="47"/>
      <c r="G90" s="47"/>
      <c r="H90" s="63"/>
      <c r="I90" s="57"/>
      <c r="J90" s="79"/>
      <c r="K90" s="79"/>
      <c r="L90" s="79"/>
      <c r="M90" s="81"/>
      <c r="N90" s="79"/>
      <c r="O90" s="79"/>
      <c r="P90" s="79"/>
      <c r="Q90" s="79"/>
      <c r="R90" s="79"/>
      <c r="S90" s="79"/>
      <c r="T90" s="47"/>
      <c r="U90" s="47"/>
      <c r="V90" s="47"/>
      <c r="W90" s="47"/>
      <c r="X90" s="47"/>
      <c r="Y90" s="47"/>
      <c r="Z90" s="47"/>
    </row>
    <row r="91" spans="1:26" ht="12.75" customHeight="1">
      <c r="A91" s="47"/>
      <c r="B91" s="47"/>
      <c r="C91" s="47"/>
      <c r="D91" s="47"/>
      <c r="E91" s="47"/>
      <c r="F91" s="47"/>
      <c r="G91" s="47"/>
      <c r="H91" s="63"/>
      <c r="I91" s="57"/>
      <c r="J91" s="79"/>
      <c r="K91" s="79"/>
      <c r="L91" s="79"/>
      <c r="M91" s="81"/>
      <c r="N91" s="79"/>
      <c r="O91" s="79"/>
      <c r="P91" s="79"/>
      <c r="Q91" s="79"/>
      <c r="R91" s="79"/>
      <c r="S91" s="79"/>
      <c r="T91" s="47"/>
      <c r="U91" s="47"/>
      <c r="V91" s="47"/>
      <c r="W91" s="47"/>
      <c r="X91" s="47"/>
      <c r="Y91" s="47"/>
      <c r="Z91" s="47"/>
    </row>
    <row r="92" spans="1:26" ht="12.75" customHeight="1">
      <c r="A92" s="47"/>
      <c r="B92" s="47"/>
      <c r="C92" s="47"/>
      <c r="D92" s="47"/>
      <c r="E92" s="47"/>
      <c r="F92" s="47"/>
      <c r="G92" s="47"/>
      <c r="H92" s="63"/>
      <c r="I92" s="57"/>
      <c r="J92" s="79"/>
      <c r="K92" s="79"/>
      <c r="L92" s="79"/>
      <c r="M92" s="81"/>
      <c r="N92" s="79"/>
      <c r="O92" s="79"/>
      <c r="P92" s="79"/>
      <c r="Q92" s="79"/>
      <c r="R92" s="79"/>
      <c r="S92" s="79"/>
      <c r="T92" s="47"/>
      <c r="U92" s="47"/>
      <c r="V92" s="47"/>
      <c r="W92" s="47"/>
      <c r="X92" s="47"/>
      <c r="Y92" s="47"/>
      <c r="Z92" s="47"/>
    </row>
    <row r="93" spans="1:26" ht="12.75" customHeight="1">
      <c r="A93" s="47"/>
      <c r="B93" s="47"/>
      <c r="C93" s="47"/>
      <c r="D93" s="47"/>
      <c r="E93" s="47"/>
      <c r="F93" s="47"/>
      <c r="G93" s="47"/>
      <c r="H93" s="63"/>
      <c r="I93" s="57"/>
      <c r="J93" s="79"/>
      <c r="K93" s="79"/>
      <c r="L93" s="79"/>
      <c r="M93" s="81"/>
      <c r="N93" s="79"/>
      <c r="O93" s="79"/>
      <c r="P93" s="79"/>
      <c r="Q93" s="79"/>
      <c r="R93" s="79"/>
      <c r="S93" s="79"/>
      <c r="T93" s="47"/>
      <c r="U93" s="47"/>
      <c r="V93" s="47"/>
      <c r="W93" s="47"/>
      <c r="X93" s="47"/>
      <c r="Y93" s="47"/>
      <c r="Z93" s="47"/>
    </row>
    <row r="94" spans="1:26" ht="12.75" customHeight="1">
      <c r="A94" s="47"/>
      <c r="B94" s="47"/>
      <c r="C94" s="47"/>
      <c r="D94" s="47"/>
      <c r="E94" s="47"/>
      <c r="F94" s="47"/>
      <c r="G94" s="47"/>
      <c r="H94" s="63"/>
      <c r="I94" s="57"/>
      <c r="J94" s="79"/>
      <c r="K94" s="79"/>
      <c r="L94" s="79"/>
      <c r="M94" s="81"/>
      <c r="N94" s="79"/>
      <c r="O94" s="79"/>
      <c r="P94" s="79"/>
      <c r="Q94" s="79"/>
      <c r="R94" s="79"/>
      <c r="S94" s="79"/>
      <c r="T94" s="47"/>
      <c r="U94" s="47"/>
      <c r="V94" s="47"/>
      <c r="W94" s="47"/>
      <c r="X94" s="47"/>
      <c r="Y94" s="47"/>
      <c r="Z94" s="47"/>
    </row>
    <row r="95" spans="1:26" ht="12.75" customHeight="1">
      <c r="A95" s="47"/>
      <c r="B95" s="47"/>
      <c r="C95" s="47"/>
      <c r="D95" s="47"/>
      <c r="E95" s="47"/>
      <c r="F95" s="47"/>
      <c r="G95" s="47"/>
      <c r="H95" s="63"/>
      <c r="I95" s="57"/>
      <c r="J95" s="79"/>
      <c r="K95" s="79"/>
      <c r="L95" s="79"/>
      <c r="M95" s="81"/>
      <c r="N95" s="79"/>
      <c r="O95" s="79"/>
      <c r="P95" s="79"/>
      <c r="Q95" s="79"/>
      <c r="R95" s="79"/>
      <c r="S95" s="79"/>
      <c r="T95" s="47"/>
      <c r="U95" s="47"/>
      <c r="V95" s="47"/>
      <c r="W95" s="47"/>
      <c r="X95" s="47"/>
      <c r="Y95" s="47"/>
      <c r="Z95" s="47"/>
    </row>
    <row r="96" spans="1:26" ht="12.75" customHeight="1">
      <c r="A96" s="47"/>
      <c r="B96" s="47"/>
      <c r="C96" s="47"/>
      <c r="D96" s="47"/>
      <c r="E96" s="47"/>
      <c r="F96" s="47"/>
      <c r="G96" s="47"/>
      <c r="H96" s="63"/>
      <c r="I96" s="57"/>
      <c r="J96" s="79"/>
      <c r="K96" s="79"/>
      <c r="L96" s="79"/>
      <c r="M96" s="81"/>
      <c r="N96" s="79"/>
      <c r="O96" s="79"/>
      <c r="P96" s="79"/>
      <c r="Q96" s="79"/>
      <c r="R96" s="79"/>
      <c r="S96" s="79"/>
      <c r="T96" s="47"/>
      <c r="U96" s="47"/>
      <c r="V96" s="47"/>
      <c r="W96" s="47"/>
      <c r="X96" s="47"/>
      <c r="Y96" s="47"/>
      <c r="Z96" s="47"/>
    </row>
    <row r="97" spans="1:26" ht="12.75" customHeight="1">
      <c r="A97" s="47"/>
      <c r="B97" s="47"/>
      <c r="C97" s="47"/>
      <c r="D97" s="47"/>
      <c r="E97" s="47"/>
      <c r="F97" s="47"/>
      <c r="G97" s="47"/>
      <c r="H97" s="63"/>
      <c r="I97" s="57"/>
      <c r="J97" s="79"/>
      <c r="K97" s="79"/>
      <c r="L97" s="79"/>
      <c r="M97" s="81"/>
      <c r="N97" s="79"/>
      <c r="O97" s="79"/>
      <c r="P97" s="79"/>
      <c r="Q97" s="79"/>
      <c r="R97" s="79"/>
      <c r="S97" s="79"/>
      <c r="T97" s="47"/>
      <c r="U97" s="47"/>
      <c r="V97" s="47"/>
      <c r="W97" s="47"/>
      <c r="X97" s="47"/>
      <c r="Y97" s="47"/>
      <c r="Z97" s="47"/>
    </row>
    <row r="98" spans="1:26" ht="12.75" customHeight="1">
      <c r="A98" s="47"/>
      <c r="B98" s="47"/>
      <c r="C98" s="47"/>
      <c r="D98" s="47"/>
      <c r="E98" s="47"/>
      <c r="F98" s="47"/>
      <c r="G98" s="47"/>
      <c r="H98" s="63"/>
      <c r="I98" s="57"/>
      <c r="J98" s="79"/>
      <c r="K98" s="79"/>
      <c r="L98" s="79"/>
      <c r="M98" s="81"/>
      <c r="N98" s="79"/>
      <c r="O98" s="79"/>
      <c r="P98" s="79"/>
      <c r="Q98" s="79"/>
      <c r="R98" s="79"/>
      <c r="S98" s="79"/>
      <c r="T98" s="47"/>
      <c r="U98" s="47"/>
      <c r="V98" s="47"/>
      <c r="W98" s="47"/>
      <c r="X98" s="47"/>
      <c r="Y98" s="47"/>
      <c r="Z98" s="47"/>
    </row>
    <row r="99" spans="1:26" ht="12.75" customHeight="1">
      <c r="A99" s="47"/>
      <c r="B99" s="47"/>
      <c r="C99" s="47"/>
      <c r="D99" s="47"/>
      <c r="E99" s="47"/>
      <c r="F99" s="47"/>
      <c r="G99" s="47"/>
      <c r="H99" s="63"/>
      <c r="I99" s="57"/>
      <c r="J99" s="79"/>
      <c r="K99" s="79"/>
      <c r="L99" s="79"/>
      <c r="M99" s="81"/>
      <c r="N99" s="79"/>
      <c r="O99" s="79"/>
      <c r="P99" s="79"/>
      <c r="Q99" s="79"/>
      <c r="R99" s="79"/>
      <c r="S99" s="79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/>
      <c r="B100" s="47"/>
      <c r="C100" s="47"/>
      <c r="D100" s="47"/>
      <c r="E100" s="47"/>
      <c r="F100" s="47"/>
      <c r="G100" s="47"/>
      <c r="H100" s="63"/>
      <c r="I100" s="57"/>
      <c r="J100" s="79"/>
      <c r="K100" s="79"/>
      <c r="L100" s="79"/>
      <c r="M100" s="81"/>
      <c r="N100" s="79"/>
      <c r="O100" s="79"/>
      <c r="P100" s="79"/>
      <c r="Q100" s="79"/>
      <c r="R100" s="79"/>
      <c r="S100" s="79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/>
      <c r="B101" s="47"/>
      <c r="C101" s="47"/>
      <c r="D101" s="47"/>
      <c r="E101" s="47"/>
      <c r="F101" s="47"/>
      <c r="G101" s="47"/>
      <c r="H101" s="63"/>
      <c r="I101" s="57"/>
      <c r="J101" s="79"/>
      <c r="K101" s="79"/>
      <c r="L101" s="79"/>
      <c r="M101" s="81"/>
      <c r="N101" s="79"/>
      <c r="O101" s="79"/>
      <c r="P101" s="79"/>
      <c r="Q101" s="79"/>
      <c r="R101" s="79"/>
      <c r="S101" s="79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/>
      <c r="B102" s="47"/>
      <c r="C102" s="47"/>
      <c r="D102" s="47"/>
      <c r="E102" s="47"/>
      <c r="F102" s="47"/>
      <c r="G102" s="47"/>
      <c r="H102" s="63"/>
      <c r="I102" s="57"/>
      <c r="J102" s="79"/>
      <c r="K102" s="79"/>
      <c r="L102" s="79"/>
      <c r="M102" s="81"/>
      <c r="N102" s="79"/>
      <c r="O102" s="79"/>
      <c r="P102" s="79"/>
      <c r="Q102" s="79"/>
      <c r="R102" s="79"/>
      <c r="S102" s="79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/>
      <c r="B103" s="47"/>
      <c r="C103" s="47"/>
      <c r="D103" s="47"/>
      <c r="E103" s="47"/>
      <c r="F103" s="47"/>
      <c r="G103" s="47"/>
      <c r="H103" s="63"/>
      <c r="I103" s="79"/>
      <c r="J103" s="79"/>
      <c r="K103" s="79"/>
      <c r="L103" s="79"/>
      <c r="M103" s="81"/>
      <c r="N103" s="79"/>
      <c r="O103" s="79"/>
      <c r="P103" s="79"/>
      <c r="Q103" s="79"/>
      <c r="R103" s="79"/>
      <c r="S103" s="79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/>
      <c r="B104" s="47"/>
      <c r="C104" s="47"/>
      <c r="D104" s="47"/>
      <c r="E104" s="47"/>
      <c r="F104" s="47"/>
      <c r="G104" s="47"/>
      <c r="H104" s="63"/>
      <c r="I104" s="79"/>
      <c r="J104" s="79"/>
      <c r="K104" s="79"/>
      <c r="L104" s="79"/>
      <c r="M104" s="81"/>
      <c r="N104" s="79"/>
      <c r="O104" s="79"/>
      <c r="P104" s="79"/>
      <c r="Q104" s="79"/>
      <c r="R104" s="79"/>
      <c r="S104" s="79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/>
      <c r="B105" s="47"/>
      <c r="C105" s="47"/>
      <c r="D105" s="47"/>
      <c r="E105" s="47"/>
      <c r="F105" s="47"/>
      <c r="G105" s="47"/>
      <c r="H105" s="63"/>
      <c r="I105" s="79"/>
      <c r="J105" s="79"/>
      <c r="K105" s="79"/>
      <c r="L105" s="79"/>
      <c r="M105" s="81"/>
      <c r="N105" s="79"/>
      <c r="O105" s="79"/>
      <c r="P105" s="79"/>
      <c r="Q105" s="79"/>
      <c r="R105" s="79"/>
      <c r="S105" s="79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/>
      <c r="B106" s="47"/>
      <c r="C106" s="47"/>
      <c r="D106" s="47"/>
      <c r="E106" s="47"/>
      <c r="F106" s="47"/>
      <c r="G106" s="47"/>
      <c r="H106" s="63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/>
      <c r="B107" s="47"/>
      <c r="C107" s="47"/>
      <c r="D107" s="47"/>
      <c r="E107" s="47"/>
      <c r="F107" s="47"/>
      <c r="G107" s="47"/>
      <c r="H107" s="84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/>
      <c r="B108" s="47"/>
      <c r="C108" s="47"/>
      <c r="D108" s="47"/>
      <c r="E108" s="47"/>
      <c r="F108" s="47"/>
      <c r="G108" s="47"/>
      <c r="H108" s="84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/>
      <c r="B109" s="47"/>
      <c r="C109" s="47"/>
      <c r="D109" s="47"/>
      <c r="E109" s="47"/>
      <c r="F109" s="47"/>
      <c r="G109" s="47"/>
      <c r="H109" s="84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/>
      <c r="B110" s="47"/>
      <c r="C110" s="47"/>
      <c r="D110" s="47"/>
      <c r="E110" s="47"/>
      <c r="F110" s="47"/>
      <c r="G110" s="47"/>
      <c r="H110" s="84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/>
      <c r="B111" s="47"/>
      <c r="C111" s="47"/>
      <c r="D111" s="47"/>
      <c r="E111" s="47"/>
      <c r="F111" s="47"/>
      <c r="G111" s="47"/>
      <c r="H111" s="84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/>
      <c r="B112" s="47"/>
      <c r="C112" s="47"/>
      <c r="D112" s="47"/>
      <c r="E112" s="47"/>
      <c r="F112" s="47"/>
      <c r="G112" s="47"/>
      <c r="H112" s="84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/>
      <c r="B113" s="47"/>
      <c r="C113" s="47"/>
      <c r="D113" s="47"/>
      <c r="E113" s="47"/>
      <c r="F113" s="47"/>
      <c r="G113" s="47"/>
      <c r="H113" s="84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/>
      <c r="B114" s="47"/>
      <c r="C114" s="47"/>
      <c r="D114" s="47"/>
      <c r="E114" s="47"/>
      <c r="F114" s="47"/>
      <c r="G114" s="47"/>
      <c r="H114" s="84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/>
      <c r="B115" s="47"/>
      <c r="C115" s="47"/>
      <c r="D115" s="47"/>
      <c r="E115" s="47"/>
      <c r="F115" s="47"/>
      <c r="G115" s="47"/>
      <c r="H115" s="84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/>
      <c r="B116" s="47"/>
      <c r="C116" s="47"/>
      <c r="D116" s="47"/>
      <c r="E116" s="47"/>
      <c r="F116" s="47"/>
      <c r="G116" s="47"/>
      <c r="H116" s="84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/>
      <c r="B117" s="47"/>
      <c r="C117" s="47"/>
      <c r="D117" s="47"/>
      <c r="E117" s="47"/>
      <c r="F117" s="47"/>
      <c r="G117" s="47"/>
      <c r="H117" s="84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/>
      <c r="B118" s="47"/>
      <c r="C118" s="47"/>
      <c r="D118" s="47"/>
      <c r="E118" s="47"/>
      <c r="F118" s="47"/>
      <c r="G118" s="47"/>
      <c r="H118" s="84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/>
      <c r="B119" s="47"/>
      <c r="C119" s="47"/>
      <c r="D119" s="47"/>
      <c r="E119" s="47"/>
      <c r="F119" s="47"/>
      <c r="G119" s="47"/>
      <c r="H119" s="84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/>
      <c r="B120" s="47"/>
      <c r="C120" s="47"/>
      <c r="D120" s="47"/>
      <c r="E120" s="47"/>
      <c r="F120" s="47"/>
      <c r="G120" s="47"/>
      <c r="H120" s="84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/>
      <c r="B121" s="47"/>
      <c r="C121" s="47"/>
      <c r="D121" s="47"/>
      <c r="E121" s="47"/>
      <c r="F121" s="47"/>
      <c r="G121" s="47"/>
      <c r="H121" s="84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/>
      <c r="B122" s="47"/>
      <c r="C122" s="47"/>
      <c r="D122" s="47"/>
      <c r="E122" s="47"/>
      <c r="F122" s="47"/>
      <c r="G122" s="47"/>
      <c r="H122" s="84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/>
      <c r="B123" s="47"/>
      <c r="C123" s="47"/>
      <c r="D123" s="47"/>
      <c r="E123" s="47"/>
      <c r="F123" s="47"/>
      <c r="G123" s="47"/>
      <c r="H123" s="84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/>
      <c r="B124" s="47"/>
      <c r="C124" s="47"/>
      <c r="D124" s="47"/>
      <c r="E124" s="47"/>
      <c r="F124" s="47"/>
      <c r="G124" s="47"/>
      <c r="H124" s="84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/>
      <c r="B125" s="47"/>
      <c r="C125" s="47"/>
      <c r="D125" s="47"/>
      <c r="E125" s="47"/>
      <c r="F125" s="47"/>
      <c r="G125" s="47"/>
      <c r="H125" s="84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/>
      <c r="B126" s="47"/>
      <c r="C126" s="47"/>
      <c r="D126" s="47"/>
      <c r="E126" s="47"/>
      <c r="F126" s="47"/>
      <c r="G126" s="47"/>
      <c r="H126" s="84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/>
      <c r="B127" s="47"/>
      <c r="C127" s="47"/>
      <c r="D127" s="47"/>
      <c r="E127" s="47"/>
      <c r="F127" s="47"/>
      <c r="G127" s="47"/>
      <c r="H127" s="84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/>
      <c r="B128" s="47"/>
      <c r="C128" s="47"/>
      <c r="D128" s="47"/>
      <c r="E128" s="47"/>
      <c r="F128" s="47"/>
      <c r="G128" s="47"/>
      <c r="H128" s="84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/>
      <c r="B129" s="47"/>
      <c r="C129" s="47"/>
      <c r="D129" s="47"/>
      <c r="E129" s="47"/>
      <c r="F129" s="47"/>
      <c r="G129" s="47"/>
      <c r="H129" s="84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/>
      <c r="B130" s="47"/>
      <c r="C130" s="47"/>
      <c r="D130" s="47"/>
      <c r="E130" s="47"/>
      <c r="F130" s="47"/>
      <c r="G130" s="47"/>
      <c r="H130" s="84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/>
      <c r="B131" s="47"/>
      <c r="C131" s="47"/>
      <c r="D131" s="47"/>
      <c r="E131" s="47"/>
      <c r="F131" s="47"/>
      <c r="G131" s="47"/>
      <c r="H131" s="84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/>
      <c r="B132" s="47"/>
      <c r="C132" s="47"/>
      <c r="D132" s="47"/>
      <c r="E132" s="47"/>
      <c r="F132" s="47"/>
      <c r="G132" s="47"/>
      <c r="H132" s="84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/>
      <c r="B133" s="47"/>
      <c r="C133" s="47"/>
      <c r="D133" s="47"/>
      <c r="E133" s="47"/>
      <c r="F133" s="47"/>
      <c r="G133" s="47"/>
      <c r="H133" s="84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/>
      <c r="B134" s="47"/>
      <c r="C134" s="47"/>
      <c r="D134" s="47"/>
      <c r="E134" s="47"/>
      <c r="F134" s="47"/>
      <c r="G134" s="47"/>
      <c r="H134" s="84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/>
      <c r="B135" s="47"/>
      <c r="C135" s="47"/>
      <c r="D135" s="47"/>
      <c r="E135" s="47"/>
      <c r="F135" s="47"/>
      <c r="G135" s="47"/>
      <c r="H135" s="84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/>
      <c r="B136" s="47"/>
      <c r="C136" s="47"/>
      <c r="D136" s="47"/>
      <c r="E136" s="47"/>
      <c r="F136" s="47"/>
      <c r="G136" s="47"/>
      <c r="H136" s="84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/>
      <c r="B137" s="47"/>
      <c r="C137" s="47"/>
      <c r="D137" s="47"/>
      <c r="E137" s="47"/>
      <c r="F137" s="47"/>
      <c r="G137" s="47"/>
      <c r="H137" s="84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/>
      <c r="B138" s="47"/>
      <c r="C138" s="47"/>
      <c r="D138" s="47"/>
      <c r="E138" s="47"/>
      <c r="F138" s="47"/>
      <c r="G138" s="47"/>
      <c r="H138" s="84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/>
      <c r="B139" s="47"/>
      <c r="C139" s="47"/>
      <c r="D139" s="47"/>
      <c r="E139" s="47"/>
      <c r="F139" s="47"/>
      <c r="G139" s="47"/>
      <c r="H139" s="84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/>
      <c r="B140" s="47"/>
      <c r="C140" s="47"/>
      <c r="D140" s="47"/>
      <c r="E140" s="47"/>
      <c r="F140" s="47"/>
      <c r="G140" s="47"/>
      <c r="H140" s="84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/>
      <c r="B141" s="47"/>
      <c r="C141" s="47"/>
      <c r="D141" s="47"/>
      <c r="E141" s="47"/>
      <c r="F141" s="47"/>
      <c r="G141" s="47"/>
      <c r="H141" s="84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/>
      <c r="B142" s="47"/>
      <c r="C142" s="47"/>
      <c r="D142" s="47"/>
      <c r="E142" s="47"/>
      <c r="F142" s="47"/>
      <c r="G142" s="47"/>
      <c r="H142" s="84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/>
      <c r="B143" s="47"/>
      <c r="C143" s="47"/>
      <c r="D143" s="47"/>
      <c r="E143" s="47"/>
      <c r="F143" s="47"/>
      <c r="G143" s="47"/>
      <c r="H143" s="84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/>
      <c r="B144" s="47"/>
      <c r="C144" s="47"/>
      <c r="D144" s="47"/>
      <c r="E144" s="47"/>
      <c r="F144" s="47"/>
      <c r="G144" s="47"/>
      <c r="H144" s="84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/>
      <c r="B145" s="47"/>
      <c r="C145" s="47"/>
      <c r="D145" s="47"/>
      <c r="E145" s="47"/>
      <c r="F145" s="47"/>
      <c r="G145" s="47"/>
      <c r="H145" s="84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/>
      <c r="B146" s="47"/>
      <c r="C146" s="47"/>
      <c r="D146" s="47"/>
      <c r="E146" s="47"/>
      <c r="F146" s="47"/>
      <c r="G146" s="47"/>
      <c r="H146" s="84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/>
      <c r="B147" s="47"/>
      <c r="C147" s="47"/>
      <c r="D147" s="47"/>
      <c r="E147" s="47"/>
      <c r="F147" s="47"/>
      <c r="G147" s="47"/>
      <c r="H147" s="84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/>
      <c r="B148" s="47"/>
      <c r="C148" s="47"/>
      <c r="D148" s="47"/>
      <c r="E148" s="47"/>
      <c r="F148" s="47"/>
      <c r="G148" s="47"/>
      <c r="H148" s="84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/>
      <c r="B149" s="47"/>
      <c r="C149" s="47"/>
      <c r="D149" s="47"/>
      <c r="E149" s="47"/>
      <c r="F149" s="47"/>
      <c r="G149" s="47"/>
      <c r="H149" s="84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/>
      <c r="B150" s="47"/>
      <c r="C150" s="47"/>
      <c r="D150" s="47"/>
      <c r="E150" s="47"/>
      <c r="F150" s="47"/>
      <c r="G150" s="47"/>
      <c r="H150" s="84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/>
      <c r="B151" s="47"/>
      <c r="C151" s="47"/>
      <c r="D151" s="47"/>
      <c r="E151" s="47"/>
      <c r="F151" s="47"/>
      <c r="G151" s="47"/>
      <c r="H151" s="84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/>
      <c r="B152" s="47"/>
      <c r="C152" s="47"/>
      <c r="D152" s="47"/>
      <c r="E152" s="47"/>
      <c r="F152" s="47"/>
      <c r="G152" s="47"/>
      <c r="H152" s="84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/>
      <c r="B153" s="47"/>
      <c r="C153" s="47"/>
      <c r="D153" s="47"/>
      <c r="E153" s="47"/>
      <c r="F153" s="47"/>
      <c r="G153" s="47"/>
      <c r="H153" s="84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/>
      <c r="B154" s="47"/>
      <c r="C154" s="47"/>
      <c r="D154" s="47"/>
      <c r="E154" s="47"/>
      <c r="F154" s="47"/>
      <c r="G154" s="47"/>
      <c r="H154" s="84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/>
      <c r="B155" s="47"/>
      <c r="C155" s="47"/>
      <c r="D155" s="47"/>
      <c r="E155" s="47"/>
      <c r="F155" s="47"/>
      <c r="G155" s="47"/>
      <c r="H155" s="84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/>
      <c r="B156" s="47"/>
      <c r="C156" s="47"/>
      <c r="D156" s="47"/>
      <c r="E156" s="47"/>
      <c r="F156" s="47"/>
      <c r="G156" s="47"/>
      <c r="H156" s="84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/>
      <c r="B157" s="47"/>
      <c r="C157" s="47"/>
      <c r="D157" s="47"/>
      <c r="E157" s="47"/>
      <c r="F157" s="47"/>
      <c r="G157" s="47"/>
      <c r="H157" s="84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/>
      <c r="B158" s="47"/>
      <c r="C158" s="47"/>
      <c r="D158" s="47"/>
      <c r="E158" s="47"/>
      <c r="F158" s="47"/>
      <c r="G158" s="47"/>
      <c r="H158" s="84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/>
      <c r="B159" s="47"/>
      <c r="C159" s="47"/>
      <c r="D159" s="47"/>
      <c r="E159" s="47"/>
      <c r="F159" s="47"/>
      <c r="G159" s="47"/>
      <c r="H159" s="84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/>
      <c r="B160" s="47"/>
      <c r="C160" s="47"/>
      <c r="D160" s="47"/>
      <c r="E160" s="47"/>
      <c r="F160" s="47"/>
      <c r="G160" s="47"/>
      <c r="H160" s="84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/>
      <c r="B161" s="47"/>
      <c r="C161" s="47"/>
      <c r="D161" s="47"/>
      <c r="E161" s="47"/>
      <c r="F161" s="47"/>
      <c r="G161" s="47"/>
      <c r="H161" s="84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/>
      <c r="B162" s="47"/>
      <c r="C162" s="47"/>
      <c r="D162" s="47"/>
      <c r="E162" s="47"/>
      <c r="F162" s="47"/>
      <c r="G162" s="47"/>
      <c r="H162" s="84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/>
      <c r="B163" s="47"/>
      <c r="C163" s="47"/>
      <c r="D163" s="47"/>
      <c r="E163" s="47"/>
      <c r="F163" s="47"/>
      <c r="G163" s="47"/>
      <c r="H163" s="84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/>
      <c r="B164" s="47"/>
      <c r="C164" s="47"/>
      <c r="D164" s="47"/>
      <c r="E164" s="47"/>
      <c r="F164" s="47"/>
      <c r="G164" s="47"/>
      <c r="H164" s="84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47"/>
      <c r="B165" s="47"/>
      <c r="C165" s="47"/>
      <c r="D165" s="47"/>
      <c r="E165" s="47"/>
      <c r="F165" s="47"/>
      <c r="G165" s="47"/>
      <c r="H165" s="84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/>
      <c r="B166" s="47"/>
      <c r="C166" s="47"/>
      <c r="D166" s="47"/>
      <c r="E166" s="47"/>
      <c r="F166" s="47"/>
      <c r="G166" s="47"/>
      <c r="H166" s="84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/>
      <c r="B167" s="47"/>
      <c r="C167" s="47"/>
      <c r="D167" s="47"/>
      <c r="E167" s="47"/>
      <c r="F167" s="47"/>
      <c r="G167" s="47"/>
      <c r="H167" s="84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/>
      <c r="B168" s="47"/>
      <c r="C168" s="47"/>
      <c r="D168" s="47"/>
      <c r="E168" s="47"/>
      <c r="F168" s="47"/>
      <c r="G168" s="47"/>
      <c r="H168" s="84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/>
      <c r="B169" s="47"/>
      <c r="C169" s="47"/>
      <c r="D169" s="47"/>
      <c r="E169" s="47"/>
      <c r="F169" s="47"/>
      <c r="G169" s="47"/>
      <c r="H169" s="84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/>
      <c r="B170" s="47"/>
      <c r="C170" s="47"/>
      <c r="D170" s="47"/>
      <c r="E170" s="47"/>
      <c r="F170" s="47"/>
      <c r="G170" s="47"/>
      <c r="H170" s="84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/>
      <c r="B171" s="47"/>
      <c r="C171" s="47"/>
      <c r="D171" s="47"/>
      <c r="E171" s="47"/>
      <c r="F171" s="47"/>
      <c r="G171" s="47"/>
      <c r="H171" s="84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/>
      <c r="B172" s="47"/>
      <c r="C172" s="47"/>
      <c r="D172" s="47"/>
      <c r="E172" s="47"/>
      <c r="F172" s="47"/>
      <c r="G172" s="47"/>
      <c r="H172" s="84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/>
      <c r="B173" s="47"/>
      <c r="C173" s="47"/>
      <c r="D173" s="47"/>
      <c r="E173" s="47"/>
      <c r="F173" s="47"/>
      <c r="G173" s="47"/>
      <c r="H173" s="84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/>
      <c r="B174" s="47"/>
      <c r="C174" s="47"/>
      <c r="D174" s="47"/>
      <c r="E174" s="47"/>
      <c r="F174" s="47"/>
      <c r="G174" s="47"/>
      <c r="H174" s="84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/>
      <c r="B175" s="47"/>
      <c r="C175" s="47"/>
      <c r="D175" s="47"/>
      <c r="E175" s="47"/>
      <c r="F175" s="47"/>
      <c r="G175" s="47"/>
      <c r="H175" s="84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B176" s="47"/>
      <c r="C176" s="47"/>
      <c r="D176" s="47"/>
      <c r="E176" s="47"/>
      <c r="F176" s="47"/>
      <c r="G176" s="47"/>
      <c r="H176" s="84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B177" s="47"/>
      <c r="C177" s="47"/>
      <c r="D177" s="47"/>
      <c r="E177" s="47"/>
      <c r="F177" s="47"/>
      <c r="G177" s="47"/>
      <c r="H177" s="84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B178" s="47"/>
      <c r="C178" s="47"/>
      <c r="D178" s="47"/>
      <c r="E178" s="47"/>
      <c r="F178" s="47"/>
      <c r="G178" s="47"/>
      <c r="H178" s="84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B179" s="47"/>
      <c r="C179" s="47"/>
      <c r="D179" s="47"/>
      <c r="E179" s="47"/>
      <c r="F179" s="47"/>
      <c r="G179" s="47"/>
      <c r="H179" s="84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B180" s="47"/>
      <c r="C180" s="47"/>
      <c r="D180" s="47"/>
      <c r="E180" s="47"/>
      <c r="F180" s="47"/>
      <c r="G180" s="47"/>
      <c r="H180" s="84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B181" s="47"/>
      <c r="C181" s="47"/>
      <c r="D181" s="47"/>
      <c r="E181" s="47"/>
      <c r="F181" s="47"/>
      <c r="G181" s="47"/>
      <c r="H181" s="84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B182" s="47"/>
      <c r="C182" s="47"/>
      <c r="D182" s="47"/>
      <c r="E182" s="47"/>
      <c r="F182" s="47"/>
      <c r="G182" s="47"/>
      <c r="H182" s="84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B183" s="47"/>
      <c r="C183" s="47"/>
      <c r="D183" s="47"/>
      <c r="E183" s="47"/>
      <c r="F183" s="47"/>
      <c r="G183" s="47"/>
      <c r="H183" s="84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B184" s="47"/>
      <c r="C184" s="47"/>
      <c r="D184" s="47"/>
      <c r="E184" s="47"/>
      <c r="F184" s="47"/>
      <c r="G184" s="47"/>
      <c r="H184" s="84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B185" s="47"/>
      <c r="C185" s="47"/>
      <c r="D185" s="47"/>
      <c r="E185" s="47"/>
      <c r="F185" s="47"/>
      <c r="G185" s="47"/>
      <c r="H185" s="84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B186" s="47"/>
      <c r="C186" s="47"/>
      <c r="D186" s="47"/>
      <c r="E186" s="47"/>
      <c r="F186" s="47"/>
      <c r="G186" s="47"/>
      <c r="H186" s="84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B187" s="47"/>
      <c r="C187" s="47"/>
      <c r="D187" s="47"/>
      <c r="E187" s="47"/>
      <c r="F187" s="47"/>
      <c r="G187" s="47"/>
      <c r="H187" s="84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B188" s="47"/>
      <c r="C188" s="47"/>
      <c r="D188" s="47"/>
      <c r="E188" s="47"/>
      <c r="F188" s="47"/>
      <c r="G188" s="47"/>
      <c r="H188" s="84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B189" s="47"/>
      <c r="C189" s="47"/>
      <c r="D189" s="47"/>
      <c r="E189" s="47"/>
      <c r="F189" s="47"/>
      <c r="G189" s="47"/>
      <c r="H189" s="84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B190" s="47"/>
      <c r="C190" s="47"/>
      <c r="D190" s="47"/>
      <c r="E190" s="47"/>
      <c r="F190" s="47"/>
      <c r="G190" s="47"/>
      <c r="H190" s="84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B191" s="47"/>
      <c r="C191" s="47"/>
      <c r="D191" s="47"/>
      <c r="E191" s="47"/>
      <c r="F191" s="47"/>
      <c r="G191" s="47"/>
      <c r="H191" s="84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B192" s="47"/>
      <c r="C192" s="47"/>
      <c r="D192" s="47"/>
      <c r="E192" s="47"/>
      <c r="F192" s="47"/>
      <c r="G192" s="47"/>
      <c r="H192" s="84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B193" s="47"/>
      <c r="C193" s="47"/>
      <c r="D193" s="47"/>
      <c r="E193" s="47"/>
      <c r="F193" s="47"/>
      <c r="G193" s="47"/>
      <c r="H193" s="84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B194" s="47"/>
      <c r="C194" s="47"/>
      <c r="D194" s="47"/>
      <c r="E194" s="47"/>
      <c r="F194" s="47"/>
      <c r="G194" s="47"/>
      <c r="H194" s="84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B195" s="47"/>
      <c r="C195" s="47"/>
      <c r="D195" s="47"/>
      <c r="E195" s="47"/>
      <c r="F195" s="47"/>
      <c r="G195" s="47"/>
      <c r="H195" s="84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B196" s="47"/>
      <c r="C196" s="47"/>
      <c r="D196" s="47"/>
      <c r="E196" s="47"/>
      <c r="F196" s="47"/>
      <c r="G196" s="47"/>
      <c r="H196" s="84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84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84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B199" s="47"/>
      <c r="C199" s="47"/>
      <c r="D199" s="47"/>
      <c r="E199" s="47"/>
      <c r="F199" s="47"/>
      <c r="G199" s="47"/>
      <c r="H199" s="84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B200" s="47"/>
      <c r="C200" s="47"/>
      <c r="D200" s="47"/>
      <c r="E200" s="47"/>
      <c r="F200" s="47"/>
      <c r="G200" s="47"/>
      <c r="H200" s="84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B201" s="47"/>
      <c r="C201" s="47"/>
      <c r="D201" s="47"/>
      <c r="E201" s="47"/>
      <c r="F201" s="47"/>
      <c r="G201" s="47"/>
      <c r="H201" s="84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B202" s="47"/>
      <c r="C202" s="47"/>
      <c r="D202" s="47"/>
      <c r="E202" s="47"/>
      <c r="F202" s="47"/>
      <c r="G202" s="47"/>
      <c r="H202" s="84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B203" s="47"/>
      <c r="C203" s="47"/>
      <c r="D203" s="47"/>
      <c r="E203" s="47"/>
      <c r="F203" s="47"/>
      <c r="G203" s="47"/>
      <c r="H203" s="84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B204" s="47"/>
      <c r="C204" s="47"/>
      <c r="D204" s="47"/>
      <c r="E204" s="47"/>
      <c r="F204" s="47"/>
      <c r="G204" s="47"/>
      <c r="H204" s="84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B205" s="47"/>
      <c r="C205" s="47"/>
      <c r="D205" s="47"/>
      <c r="E205" s="47"/>
      <c r="F205" s="47"/>
      <c r="G205" s="47"/>
      <c r="H205" s="84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B206" s="47"/>
      <c r="C206" s="47"/>
      <c r="D206" s="47"/>
      <c r="E206" s="47"/>
      <c r="F206" s="47"/>
      <c r="G206" s="47"/>
      <c r="H206" s="84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B207" s="47"/>
      <c r="C207" s="47"/>
      <c r="D207" s="47"/>
      <c r="E207" s="47"/>
      <c r="F207" s="47"/>
      <c r="G207" s="47"/>
      <c r="H207" s="84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B208" s="47"/>
      <c r="C208" s="47"/>
      <c r="D208" s="47"/>
      <c r="E208" s="47"/>
      <c r="F208" s="47"/>
      <c r="G208" s="47"/>
      <c r="H208" s="84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B209" s="47"/>
      <c r="C209" s="47"/>
      <c r="D209" s="47"/>
      <c r="E209" s="47"/>
      <c r="F209" s="47"/>
      <c r="G209" s="47"/>
      <c r="H209" s="84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B210" s="47"/>
      <c r="C210" s="47"/>
      <c r="D210" s="47"/>
      <c r="E210" s="47"/>
      <c r="F210" s="47"/>
      <c r="G210" s="47"/>
      <c r="H210" s="84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B211" s="47"/>
      <c r="C211" s="47"/>
      <c r="D211" s="47"/>
      <c r="E211" s="47"/>
      <c r="F211" s="47"/>
      <c r="G211" s="47"/>
      <c r="H211" s="84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B212" s="47"/>
      <c r="C212" s="47"/>
      <c r="D212" s="47"/>
      <c r="E212" s="47"/>
      <c r="F212" s="47"/>
      <c r="G212" s="47"/>
      <c r="H212" s="84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B213" s="47"/>
      <c r="C213" s="47"/>
      <c r="D213" s="47"/>
      <c r="E213" s="47"/>
      <c r="F213" s="47"/>
      <c r="G213" s="47"/>
      <c r="H213" s="84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B214" s="47"/>
      <c r="C214" s="47"/>
      <c r="D214" s="47"/>
      <c r="E214" s="47"/>
      <c r="F214" s="47"/>
      <c r="G214" s="47"/>
      <c r="H214" s="84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B215" s="47"/>
      <c r="C215" s="47"/>
      <c r="D215" s="47"/>
      <c r="E215" s="47"/>
      <c r="F215" s="47"/>
      <c r="G215" s="47"/>
      <c r="H215" s="84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B216" s="47"/>
      <c r="C216" s="47"/>
      <c r="D216" s="47"/>
      <c r="E216" s="47"/>
      <c r="F216" s="47"/>
      <c r="G216" s="47"/>
      <c r="H216" s="84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B217" s="47"/>
      <c r="C217" s="47"/>
      <c r="D217" s="47"/>
      <c r="E217" s="47"/>
      <c r="F217" s="47"/>
      <c r="G217" s="47"/>
      <c r="H217" s="84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B218" s="47"/>
      <c r="C218" s="47"/>
      <c r="D218" s="47"/>
      <c r="E218" s="47"/>
      <c r="F218" s="47"/>
      <c r="G218" s="47"/>
      <c r="H218" s="84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B219" s="47"/>
      <c r="C219" s="47"/>
      <c r="D219" s="47"/>
      <c r="E219" s="47"/>
      <c r="F219" s="47"/>
      <c r="G219" s="47"/>
      <c r="H219" s="84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B220" s="47"/>
      <c r="C220" s="47"/>
      <c r="D220" s="47"/>
      <c r="E220" s="47"/>
      <c r="F220" s="47"/>
      <c r="G220" s="47"/>
      <c r="H220" s="84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B221" s="47"/>
      <c r="C221" s="47"/>
      <c r="D221" s="47"/>
      <c r="E221" s="47"/>
      <c r="F221" s="47"/>
      <c r="G221" s="47"/>
      <c r="H221" s="84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B222" s="47"/>
      <c r="C222" s="47"/>
      <c r="D222" s="47"/>
      <c r="E222" s="47"/>
      <c r="F222" s="47"/>
      <c r="G222" s="47"/>
      <c r="H222" s="84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84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84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84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84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84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84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84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84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84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84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84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84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84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84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84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84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84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84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84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84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84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84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84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84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84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84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84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84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84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84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84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84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84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84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84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84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84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84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84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84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84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84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84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84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84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84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84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84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84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84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84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84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84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84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84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84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84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84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84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84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84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84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84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84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84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84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84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84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84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84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84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84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84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84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84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84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84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84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84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84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84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84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84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84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84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84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84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84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84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84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84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84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84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84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84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84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84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84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84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84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84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84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84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84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84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84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84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84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84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84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84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84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84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84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84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84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84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84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84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84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84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84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84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84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84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84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84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84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84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84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84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84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84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84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84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84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84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84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84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84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84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84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84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84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84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84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84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84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84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84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84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84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84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84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84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84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84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84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84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84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84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84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84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84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84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84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84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84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84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84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84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84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84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84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84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84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84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84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84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84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84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84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84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84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84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84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84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84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84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84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84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84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84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84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84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84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84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84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84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84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84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84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84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84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84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84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84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84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84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84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84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84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84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84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84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84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84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84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84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84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84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84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84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84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84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84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84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84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84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84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84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84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84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84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84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84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84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84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84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84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84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84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84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84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84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84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84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84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84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84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84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84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84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84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84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84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84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84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84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84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84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84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84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84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84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84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84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84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84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84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84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84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84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84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84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84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84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84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84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84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84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84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84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84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84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84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84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84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84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84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84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84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84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84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84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84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84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84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84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84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84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84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84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84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84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84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84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84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84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84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84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84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84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84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84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84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84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84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84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84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84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84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84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84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84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84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84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84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84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84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84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84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84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84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84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84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84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84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84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84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84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84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84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84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84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84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84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84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84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84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84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84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84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84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84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84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84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84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84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84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84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84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84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84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84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84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84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84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84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84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84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84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84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84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84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84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84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84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84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84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84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84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84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84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84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84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84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47"/>
      <c r="B610" s="47"/>
      <c r="C610" s="47"/>
      <c r="D610" s="47"/>
      <c r="E610" s="47"/>
      <c r="F610" s="47"/>
      <c r="G610" s="47"/>
      <c r="H610" s="84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47"/>
      <c r="B611" s="47"/>
      <c r="C611" s="47"/>
      <c r="D611" s="47"/>
      <c r="E611" s="47"/>
      <c r="F611" s="47"/>
      <c r="G611" s="47"/>
      <c r="H611" s="84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47"/>
      <c r="B612" s="47"/>
      <c r="C612" s="47"/>
      <c r="D612" s="47"/>
      <c r="E612" s="47"/>
      <c r="F612" s="47"/>
      <c r="G612" s="47"/>
      <c r="H612" s="84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47"/>
      <c r="B613" s="47"/>
      <c r="C613" s="47"/>
      <c r="D613" s="47"/>
      <c r="E613" s="47"/>
      <c r="F613" s="47"/>
      <c r="G613" s="47"/>
      <c r="H613" s="84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47"/>
      <c r="B614" s="47"/>
      <c r="C614" s="47"/>
      <c r="D614" s="47"/>
      <c r="E614" s="47"/>
      <c r="F614" s="47"/>
      <c r="G614" s="47"/>
      <c r="H614" s="84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47"/>
      <c r="B615" s="47"/>
      <c r="C615" s="47"/>
      <c r="D615" s="47"/>
      <c r="E615" s="47"/>
      <c r="F615" s="47"/>
      <c r="G615" s="47"/>
      <c r="H615" s="84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47"/>
      <c r="B616" s="47"/>
      <c r="C616" s="47"/>
      <c r="D616" s="47"/>
      <c r="E616" s="47"/>
      <c r="F616" s="47"/>
      <c r="G616" s="47"/>
      <c r="H616" s="84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47"/>
      <c r="B617" s="47"/>
      <c r="C617" s="47"/>
      <c r="D617" s="47"/>
      <c r="E617" s="47"/>
      <c r="F617" s="47"/>
      <c r="G617" s="47"/>
      <c r="H617" s="84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47"/>
      <c r="B618" s="47"/>
      <c r="C618" s="47"/>
      <c r="D618" s="47"/>
      <c r="E618" s="47"/>
      <c r="F618" s="47"/>
      <c r="G618" s="47"/>
      <c r="H618" s="84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47"/>
      <c r="B619" s="47"/>
      <c r="C619" s="47"/>
      <c r="D619" s="47"/>
      <c r="E619" s="47"/>
      <c r="F619" s="47"/>
      <c r="G619" s="47"/>
      <c r="H619" s="84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47"/>
      <c r="B620" s="47"/>
      <c r="C620" s="47"/>
      <c r="D620" s="47"/>
      <c r="E620" s="47"/>
      <c r="F620" s="47"/>
      <c r="G620" s="47"/>
      <c r="H620" s="84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47"/>
      <c r="B621" s="47"/>
      <c r="C621" s="47"/>
      <c r="D621" s="47"/>
      <c r="E621" s="47"/>
      <c r="F621" s="47"/>
      <c r="G621" s="47"/>
      <c r="H621" s="84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47"/>
      <c r="B622" s="47"/>
      <c r="C622" s="47"/>
      <c r="D622" s="47"/>
      <c r="E622" s="47"/>
      <c r="F622" s="47"/>
      <c r="G622" s="47"/>
      <c r="H622" s="84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47"/>
      <c r="B623" s="47"/>
      <c r="C623" s="47"/>
      <c r="D623" s="47"/>
      <c r="E623" s="47"/>
      <c r="F623" s="47"/>
      <c r="G623" s="47"/>
      <c r="H623" s="84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47"/>
      <c r="B624" s="47"/>
      <c r="C624" s="47"/>
      <c r="D624" s="47"/>
      <c r="E624" s="47"/>
      <c r="F624" s="47"/>
      <c r="G624" s="47"/>
      <c r="H624" s="84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47"/>
      <c r="B625" s="47"/>
      <c r="C625" s="47"/>
      <c r="D625" s="47"/>
      <c r="E625" s="47"/>
      <c r="F625" s="47"/>
      <c r="G625" s="47"/>
      <c r="H625" s="84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47"/>
      <c r="B626" s="47"/>
      <c r="C626" s="47"/>
      <c r="D626" s="47"/>
      <c r="E626" s="47"/>
      <c r="F626" s="47"/>
      <c r="G626" s="47"/>
      <c r="H626" s="84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47"/>
      <c r="B627" s="47"/>
      <c r="C627" s="47"/>
      <c r="D627" s="47"/>
      <c r="E627" s="47"/>
      <c r="F627" s="47"/>
      <c r="G627" s="47"/>
      <c r="H627" s="84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47"/>
      <c r="B628" s="47"/>
      <c r="C628" s="47"/>
      <c r="D628" s="47"/>
      <c r="E628" s="47"/>
      <c r="F628" s="47"/>
      <c r="G628" s="47"/>
      <c r="H628" s="84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47"/>
      <c r="B629" s="47"/>
      <c r="C629" s="47"/>
      <c r="D629" s="47"/>
      <c r="E629" s="47"/>
      <c r="F629" s="47"/>
      <c r="G629" s="47"/>
      <c r="H629" s="84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47"/>
      <c r="B630" s="47"/>
      <c r="C630" s="47"/>
      <c r="D630" s="47"/>
      <c r="E630" s="47"/>
      <c r="F630" s="47"/>
      <c r="G630" s="47"/>
      <c r="H630" s="84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47"/>
      <c r="B631" s="47"/>
      <c r="C631" s="47"/>
      <c r="D631" s="47"/>
      <c r="E631" s="47"/>
      <c r="F631" s="47"/>
      <c r="G631" s="47"/>
      <c r="H631" s="84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47"/>
      <c r="B632" s="47"/>
      <c r="C632" s="47"/>
      <c r="D632" s="47"/>
      <c r="E632" s="47"/>
      <c r="F632" s="47"/>
      <c r="G632" s="47"/>
      <c r="H632" s="84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47"/>
      <c r="B633" s="47"/>
      <c r="C633" s="47"/>
      <c r="D633" s="47"/>
      <c r="E633" s="47"/>
      <c r="F633" s="47"/>
      <c r="G633" s="47"/>
      <c r="H633" s="84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47"/>
      <c r="B634" s="47"/>
      <c r="C634" s="47"/>
      <c r="D634" s="47"/>
      <c r="E634" s="47"/>
      <c r="F634" s="47"/>
      <c r="G634" s="47"/>
      <c r="H634" s="84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47"/>
      <c r="B635" s="47"/>
      <c r="C635" s="47"/>
      <c r="D635" s="47"/>
      <c r="E635" s="47"/>
      <c r="F635" s="47"/>
      <c r="G635" s="47"/>
      <c r="H635" s="84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47"/>
      <c r="B636" s="47"/>
      <c r="C636" s="47"/>
      <c r="D636" s="47"/>
      <c r="E636" s="47"/>
      <c r="F636" s="47"/>
      <c r="G636" s="47"/>
      <c r="H636" s="84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47"/>
      <c r="B637" s="47"/>
      <c r="C637" s="47"/>
      <c r="D637" s="47"/>
      <c r="E637" s="47"/>
      <c r="F637" s="47"/>
      <c r="G637" s="47"/>
      <c r="H637" s="84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47"/>
      <c r="B638" s="47"/>
      <c r="C638" s="47"/>
      <c r="D638" s="47"/>
      <c r="E638" s="47"/>
      <c r="F638" s="47"/>
      <c r="G638" s="47"/>
      <c r="H638" s="84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47"/>
      <c r="B639" s="47"/>
      <c r="C639" s="47"/>
      <c r="D639" s="47"/>
      <c r="E639" s="47"/>
      <c r="F639" s="47"/>
      <c r="G639" s="47"/>
      <c r="H639" s="84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47"/>
      <c r="B640" s="47"/>
      <c r="C640" s="47"/>
      <c r="D640" s="47"/>
      <c r="E640" s="47"/>
      <c r="F640" s="47"/>
      <c r="G640" s="47"/>
      <c r="H640" s="84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47"/>
      <c r="B641" s="47"/>
      <c r="C641" s="47"/>
      <c r="D641" s="47"/>
      <c r="E641" s="47"/>
      <c r="F641" s="47"/>
      <c r="G641" s="47"/>
      <c r="H641" s="84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47"/>
      <c r="B642" s="47"/>
      <c r="C642" s="47"/>
      <c r="D642" s="47"/>
      <c r="E642" s="47"/>
      <c r="F642" s="47"/>
      <c r="G642" s="47"/>
      <c r="H642" s="84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47"/>
      <c r="B643" s="47"/>
      <c r="C643" s="47"/>
      <c r="D643" s="47"/>
      <c r="E643" s="47"/>
      <c r="F643" s="47"/>
      <c r="G643" s="47"/>
      <c r="H643" s="84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47"/>
      <c r="B644" s="47"/>
      <c r="C644" s="47"/>
      <c r="D644" s="47"/>
      <c r="E644" s="47"/>
      <c r="F644" s="47"/>
      <c r="G644" s="47"/>
      <c r="H644" s="84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47"/>
      <c r="B645" s="47"/>
      <c r="C645" s="47"/>
      <c r="D645" s="47"/>
      <c r="E645" s="47"/>
      <c r="F645" s="47"/>
      <c r="G645" s="47"/>
      <c r="H645" s="84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47"/>
      <c r="B646" s="47"/>
      <c r="C646" s="47"/>
      <c r="D646" s="47"/>
      <c r="E646" s="47"/>
      <c r="F646" s="47"/>
      <c r="G646" s="47"/>
      <c r="H646" s="84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47"/>
      <c r="B647" s="47"/>
      <c r="C647" s="47"/>
      <c r="D647" s="47"/>
      <c r="E647" s="47"/>
      <c r="F647" s="47"/>
      <c r="G647" s="47"/>
      <c r="H647" s="84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47"/>
      <c r="B648" s="47"/>
      <c r="C648" s="47"/>
      <c r="D648" s="47"/>
      <c r="E648" s="47"/>
      <c r="F648" s="47"/>
      <c r="G648" s="47"/>
      <c r="H648" s="84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47"/>
      <c r="B649" s="47"/>
      <c r="C649" s="47"/>
      <c r="D649" s="47"/>
      <c r="E649" s="47"/>
      <c r="F649" s="47"/>
      <c r="G649" s="47"/>
      <c r="H649" s="84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47"/>
      <c r="B650" s="47"/>
      <c r="C650" s="47"/>
      <c r="D650" s="47"/>
      <c r="E650" s="47"/>
      <c r="F650" s="47"/>
      <c r="G650" s="47"/>
      <c r="H650" s="84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47"/>
      <c r="B651" s="47"/>
      <c r="C651" s="47"/>
      <c r="D651" s="47"/>
      <c r="E651" s="47"/>
      <c r="F651" s="47"/>
      <c r="G651" s="47"/>
      <c r="H651" s="84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47"/>
      <c r="B652" s="47"/>
      <c r="C652" s="47"/>
      <c r="D652" s="47"/>
      <c r="E652" s="47"/>
      <c r="F652" s="47"/>
      <c r="G652" s="47"/>
      <c r="H652" s="84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47"/>
      <c r="B653" s="47"/>
      <c r="C653" s="47"/>
      <c r="D653" s="47"/>
      <c r="E653" s="47"/>
      <c r="F653" s="47"/>
      <c r="G653" s="47"/>
      <c r="H653" s="84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47"/>
      <c r="B654" s="47"/>
      <c r="C654" s="47"/>
      <c r="D654" s="47"/>
      <c r="E654" s="47"/>
      <c r="F654" s="47"/>
      <c r="G654" s="47"/>
      <c r="H654" s="84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47"/>
      <c r="U654" s="47"/>
      <c r="V654" s="47"/>
      <c r="W654" s="47"/>
      <c r="X654" s="47"/>
      <c r="Y654" s="47"/>
      <c r="Z654" s="47"/>
    </row>
    <row r="655" spans="1:26" ht="12.75" customHeight="1">
      <c r="A655" s="47"/>
      <c r="B655" s="47"/>
      <c r="C655" s="47"/>
      <c r="D655" s="47"/>
      <c r="E655" s="47"/>
      <c r="F655" s="47"/>
      <c r="G655" s="47"/>
      <c r="H655" s="84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47"/>
      <c r="U655" s="47"/>
      <c r="V655" s="47"/>
      <c r="W655" s="47"/>
      <c r="X655" s="47"/>
      <c r="Y655" s="47"/>
      <c r="Z655" s="47"/>
    </row>
    <row r="656" spans="1:26" ht="12.75" customHeight="1">
      <c r="A656" s="47"/>
      <c r="B656" s="47"/>
      <c r="C656" s="47"/>
      <c r="D656" s="47"/>
      <c r="E656" s="47"/>
      <c r="F656" s="47"/>
      <c r="G656" s="47"/>
      <c r="H656" s="84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47"/>
      <c r="B657" s="47"/>
      <c r="C657" s="47"/>
      <c r="D657" s="47"/>
      <c r="E657" s="47"/>
      <c r="F657" s="47"/>
      <c r="G657" s="47"/>
      <c r="H657" s="84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47"/>
      <c r="B658" s="47"/>
      <c r="C658" s="47"/>
      <c r="D658" s="47"/>
      <c r="E658" s="47"/>
      <c r="F658" s="47"/>
      <c r="G658" s="47"/>
      <c r="H658" s="84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47"/>
      <c r="U658" s="47"/>
      <c r="V658" s="47"/>
      <c r="W658" s="47"/>
      <c r="X658" s="47"/>
      <c r="Y658" s="47"/>
      <c r="Z658" s="47"/>
    </row>
    <row r="659" spans="1:26" ht="12.75" customHeight="1">
      <c r="A659" s="47"/>
      <c r="B659" s="47"/>
      <c r="C659" s="47"/>
      <c r="D659" s="47"/>
      <c r="E659" s="47"/>
      <c r="F659" s="47"/>
      <c r="G659" s="47"/>
      <c r="H659" s="84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47"/>
      <c r="U659" s="47"/>
      <c r="V659" s="47"/>
      <c r="W659" s="47"/>
      <c r="X659" s="47"/>
      <c r="Y659" s="47"/>
      <c r="Z659" s="47"/>
    </row>
    <row r="660" spans="1:26" ht="12.75" customHeight="1">
      <c r="A660" s="47"/>
      <c r="B660" s="47"/>
      <c r="C660" s="47"/>
      <c r="D660" s="47"/>
      <c r="E660" s="47"/>
      <c r="F660" s="47"/>
      <c r="G660" s="47"/>
      <c r="H660" s="84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47"/>
      <c r="U660" s="47"/>
      <c r="V660" s="47"/>
      <c r="W660" s="47"/>
      <c r="X660" s="47"/>
      <c r="Y660" s="47"/>
      <c r="Z660" s="47"/>
    </row>
    <row r="661" spans="1:26" ht="12.75" customHeight="1">
      <c r="A661" s="47"/>
      <c r="B661" s="47"/>
      <c r="C661" s="47"/>
      <c r="D661" s="47"/>
      <c r="E661" s="47"/>
      <c r="F661" s="47"/>
      <c r="G661" s="47"/>
      <c r="H661" s="84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47"/>
      <c r="U661" s="47"/>
      <c r="V661" s="47"/>
      <c r="W661" s="47"/>
      <c r="X661" s="47"/>
      <c r="Y661" s="47"/>
      <c r="Z661" s="47"/>
    </row>
    <row r="662" spans="1:26" ht="12.75" customHeight="1">
      <c r="A662" s="47"/>
      <c r="B662" s="47"/>
      <c r="C662" s="47"/>
      <c r="D662" s="47"/>
      <c r="E662" s="47"/>
      <c r="F662" s="47"/>
      <c r="G662" s="47"/>
      <c r="H662" s="84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47"/>
      <c r="U662" s="47"/>
      <c r="V662" s="47"/>
      <c r="W662" s="47"/>
      <c r="X662" s="47"/>
      <c r="Y662" s="47"/>
      <c r="Z662" s="47"/>
    </row>
    <row r="663" spans="1:26" ht="12.75" customHeight="1">
      <c r="A663" s="47"/>
      <c r="B663" s="47"/>
      <c r="C663" s="47"/>
      <c r="D663" s="47"/>
      <c r="E663" s="47"/>
      <c r="F663" s="47"/>
      <c r="G663" s="47"/>
      <c r="H663" s="84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47"/>
      <c r="U663" s="47"/>
      <c r="V663" s="47"/>
      <c r="W663" s="47"/>
      <c r="X663" s="47"/>
      <c r="Y663" s="47"/>
      <c r="Z663" s="47"/>
    </row>
    <row r="664" spans="1:26" ht="12.75" customHeight="1">
      <c r="A664" s="47"/>
      <c r="B664" s="47"/>
      <c r="C664" s="47"/>
      <c r="D664" s="47"/>
      <c r="E664" s="47"/>
      <c r="F664" s="47"/>
      <c r="G664" s="47"/>
      <c r="H664" s="84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47"/>
      <c r="U664" s="47"/>
      <c r="V664" s="47"/>
      <c r="W664" s="47"/>
      <c r="X664" s="47"/>
      <c r="Y664" s="47"/>
      <c r="Z664" s="47"/>
    </row>
    <row r="665" spans="1:26" ht="12.75" customHeight="1">
      <c r="A665" s="47"/>
      <c r="B665" s="47"/>
      <c r="C665" s="47"/>
      <c r="D665" s="47"/>
      <c r="E665" s="47"/>
      <c r="F665" s="47"/>
      <c r="G665" s="47"/>
      <c r="H665" s="84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47"/>
      <c r="U665" s="47"/>
      <c r="V665" s="47"/>
      <c r="W665" s="47"/>
      <c r="X665" s="47"/>
      <c r="Y665" s="47"/>
      <c r="Z665" s="47"/>
    </row>
    <row r="666" spans="1:26" ht="12.75" customHeight="1">
      <c r="A666" s="47"/>
      <c r="B666" s="47"/>
      <c r="C666" s="47"/>
      <c r="D666" s="47"/>
      <c r="E666" s="47"/>
      <c r="F666" s="47"/>
      <c r="G666" s="47"/>
      <c r="H666" s="84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47"/>
      <c r="U666" s="47"/>
      <c r="V666" s="47"/>
      <c r="W666" s="47"/>
      <c r="X666" s="47"/>
      <c r="Y666" s="47"/>
      <c r="Z666" s="47"/>
    </row>
    <row r="667" spans="1:26" ht="12.75" customHeight="1">
      <c r="A667" s="47"/>
      <c r="B667" s="47"/>
      <c r="C667" s="47"/>
      <c r="D667" s="47"/>
      <c r="E667" s="47"/>
      <c r="F667" s="47"/>
      <c r="G667" s="47"/>
      <c r="H667" s="84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47"/>
      <c r="U667" s="47"/>
      <c r="V667" s="47"/>
      <c r="W667" s="47"/>
      <c r="X667" s="47"/>
      <c r="Y667" s="47"/>
      <c r="Z667" s="47"/>
    </row>
    <row r="668" spans="1:26" ht="12.75" customHeight="1">
      <c r="A668" s="47"/>
      <c r="B668" s="47"/>
      <c r="C668" s="47"/>
      <c r="D668" s="47"/>
      <c r="E668" s="47"/>
      <c r="F668" s="47"/>
      <c r="G668" s="47"/>
      <c r="H668" s="84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47"/>
      <c r="U668" s="47"/>
      <c r="V668" s="47"/>
      <c r="W668" s="47"/>
      <c r="X668" s="47"/>
      <c r="Y668" s="47"/>
      <c r="Z668" s="47"/>
    </row>
    <row r="669" spans="1:26" ht="12.75" customHeight="1">
      <c r="A669" s="47"/>
      <c r="B669" s="47"/>
      <c r="C669" s="47"/>
      <c r="D669" s="47"/>
      <c r="E669" s="47"/>
      <c r="F669" s="47"/>
      <c r="G669" s="47"/>
      <c r="H669" s="84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47"/>
      <c r="U669" s="47"/>
      <c r="V669" s="47"/>
      <c r="W669" s="47"/>
      <c r="X669" s="47"/>
      <c r="Y669" s="47"/>
      <c r="Z669" s="47"/>
    </row>
    <row r="670" spans="1:26" ht="12.75" customHeight="1">
      <c r="A670" s="47"/>
      <c r="B670" s="47"/>
      <c r="C670" s="47"/>
      <c r="D670" s="47"/>
      <c r="E670" s="47"/>
      <c r="F670" s="47"/>
      <c r="G670" s="47"/>
      <c r="H670" s="84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47"/>
      <c r="U670" s="47"/>
      <c r="V670" s="47"/>
      <c r="W670" s="47"/>
      <c r="X670" s="47"/>
      <c r="Y670" s="47"/>
      <c r="Z670" s="47"/>
    </row>
    <row r="671" spans="1:26" ht="12.75" customHeight="1">
      <c r="A671" s="47"/>
      <c r="B671" s="47"/>
      <c r="C671" s="47"/>
      <c r="D671" s="47"/>
      <c r="E671" s="47"/>
      <c r="F671" s="47"/>
      <c r="G671" s="47"/>
      <c r="H671" s="84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47"/>
      <c r="U671" s="47"/>
      <c r="V671" s="47"/>
      <c r="W671" s="47"/>
      <c r="X671" s="47"/>
      <c r="Y671" s="47"/>
      <c r="Z671" s="47"/>
    </row>
    <row r="672" spans="1:26" ht="12.75" customHeight="1">
      <c r="A672" s="47"/>
      <c r="B672" s="47"/>
      <c r="C672" s="47"/>
      <c r="D672" s="47"/>
      <c r="E672" s="47"/>
      <c r="F672" s="47"/>
      <c r="G672" s="47"/>
      <c r="H672" s="84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47"/>
      <c r="U672" s="47"/>
      <c r="V672" s="47"/>
      <c r="W672" s="47"/>
      <c r="X672" s="47"/>
      <c r="Y672" s="47"/>
      <c r="Z672" s="47"/>
    </row>
    <row r="673" spans="1:26" ht="12.75" customHeight="1">
      <c r="A673" s="47"/>
      <c r="B673" s="47"/>
      <c r="C673" s="47"/>
      <c r="D673" s="47"/>
      <c r="E673" s="47"/>
      <c r="F673" s="47"/>
      <c r="G673" s="47"/>
      <c r="H673" s="84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47"/>
      <c r="U673" s="47"/>
      <c r="V673" s="47"/>
      <c r="W673" s="47"/>
      <c r="X673" s="47"/>
      <c r="Y673" s="47"/>
      <c r="Z673" s="47"/>
    </row>
    <row r="674" spans="1:26" ht="12.75" customHeight="1">
      <c r="A674" s="47"/>
      <c r="B674" s="47"/>
      <c r="C674" s="47"/>
      <c r="D674" s="47"/>
      <c r="E674" s="47"/>
      <c r="F674" s="47"/>
      <c r="G674" s="47"/>
      <c r="H674" s="84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47"/>
      <c r="U674" s="47"/>
      <c r="V674" s="47"/>
      <c r="W674" s="47"/>
      <c r="X674" s="47"/>
      <c r="Y674" s="47"/>
      <c r="Z674" s="47"/>
    </row>
    <row r="675" spans="1:26" ht="12.75" customHeight="1">
      <c r="A675" s="47"/>
      <c r="B675" s="47"/>
      <c r="C675" s="47"/>
      <c r="D675" s="47"/>
      <c r="E675" s="47"/>
      <c r="F675" s="47"/>
      <c r="G675" s="47"/>
      <c r="H675" s="84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47"/>
      <c r="U675" s="47"/>
      <c r="V675" s="47"/>
      <c r="W675" s="47"/>
      <c r="X675" s="47"/>
      <c r="Y675" s="47"/>
      <c r="Z675" s="47"/>
    </row>
    <row r="676" spans="1:26" ht="12.75" customHeight="1">
      <c r="A676" s="47"/>
      <c r="B676" s="47"/>
      <c r="C676" s="47"/>
      <c r="D676" s="47"/>
      <c r="E676" s="47"/>
      <c r="F676" s="47"/>
      <c r="G676" s="47"/>
      <c r="H676" s="84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47"/>
      <c r="U676" s="47"/>
      <c r="V676" s="47"/>
      <c r="W676" s="47"/>
      <c r="X676" s="47"/>
      <c r="Y676" s="47"/>
      <c r="Z676" s="47"/>
    </row>
    <row r="677" spans="1:26" ht="12.75" customHeight="1">
      <c r="A677" s="47"/>
      <c r="B677" s="47"/>
      <c r="C677" s="47"/>
      <c r="D677" s="47"/>
      <c r="E677" s="47"/>
      <c r="F677" s="47"/>
      <c r="G677" s="47"/>
      <c r="H677" s="84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47"/>
      <c r="U677" s="47"/>
      <c r="V677" s="47"/>
      <c r="W677" s="47"/>
      <c r="X677" s="47"/>
      <c r="Y677" s="47"/>
      <c r="Z677" s="47"/>
    </row>
    <row r="678" spans="1:26" ht="12.75" customHeight="1">
      <c r="A678" s="47"/>
      <c r="B678" s="47"/>
      <c r="C678" s="47"/>
      <c r="D678" s="47"/>
      <c r="E678" s="47"/>
      <c r="F678" s="47"/>
      <c r="G678" s="47"/>
      <c r="H678" s="84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47"/>
      <c r="U678" s="47"/>
      <c r="V678" s="47"/>
      <c r="W678" s="47"/>
      <c r="X678" s="47"/>
      <c r="Y678" s="47"/>
      <c r="Z678" s="47"/>
    </row>
    <row r="679" spans="1:26" ht="12.75" customHeight="1">
      <c r="A679" s="47"/>
      <c r="B679" s="47"/>
      <c r="C679" s="47"/>
      <c r="D679" s="47"/>
      <c r="E679" s="47"/>
      <c r="F679" s="47"/>
      <c r="G679" s="47"/>
      <c r="H679" s="84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47"/>
      <c r="U679" s="47"/>
      <c r="V679" s="47"/>
      <c r="W679" s="47"/>
      <c r="X679" s="47"/>
      <c r="Y679" s="47"/>
      <c r="Z679" s="47"/>
    </row>
    <row r="680" spans="1:26" ht="12.75" customHeight="1">
      <c r="A680" s="47"/>
      <c r="B680" s="47"/>
      <c r="C680" s="47"/>
      <c r="D680" s="47"/>
      <c r="E680" s="47"/>
      <c r="F680" s="47"/>
      <c r="G680" s="47"/>
      <c r="H680" s="84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47"/>
      <c r="U680" s="47"/>
      <c r="V680" s="47"/>
      <c r="W680" s="47"/>
      <c r="X680" s="47"/>
      <c r="Y680" s="47"/>
      <c r="Z680" s="47"/>
    </row>
    <row r="681" spans="1:26" ht="12.75" customHeight="1">
      <c r="A681" s="47"/>
      <c r="B681" s="47"/>
      <c r="C681" s="47"/>
      <c r="D681" s="47"/>
      <c r="E681" s="47"/>
      <c r="F681" s="47"/>
      <c r="G681" s="47"/>
      <c r="H681" s="84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47"/>
      <c r="U681" s="47"/>
      <c r="V681" s="47"/>
      <c r="W681" s="47"/>
      <c r="X681" s="47"/>
      <c r="Y681" s="47"/>
      <c r="Z681" s="47"/>
    </row>
    <row r="682" spans="1:26" ht="12.75" customHeight="1">
      <c r="A682" s="47"/>
      <c r="B682" s="47"/>
      <c r="C682" s="47"/>
      <c r="D682" s="47"/>
      <c r="E682" s="47"/>
      <c r="F682" s="47"/>
      <c r="G682" s="47"/>
      <c r="H682" s="84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47"/>
      <c r="U682" s="47"/>
      <c r="V682" s="47"/>
      <c r="W682" s="47"/>
      <c r="X682" s="47"/>
      <c r="Y682" s="47"/>
      <c r="Z682" s="47"/>
    </row>
    <row r="683" spans="1:26" ht="12.75" customHeight="1">
      <c r="A683" s="47"/>
      <c r="B683" s="47"/>
      <c r="C683" s="47"/>
      <c r="D683" s="47"/>
      <c r="E683" s="47"/>
      <c r="F683" s="47"/>
      <c r="G683" s="47"/>
      <c r="H683" s="84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47"/>
      <c r="U683" s="47"/>
      <c r="V683" s="47"/>
      <c r="W683" s="47"/>
      <c r="X683" s="47"/>
      <c r="Y683" s="47"/>
      <c r="Z683" s="47"/>
    </row>
    <row r="684" spans="1:26" ht="12.75" customHeight="1">
      <c r="A684" s="47"/>
      <c r="B684" s="47"/>
      <c r="C684" s="47"/>
      <c r="D684" s="47"/>
      <c r="E684" s="47"/>
      <c r="F684" s="47"/>
      <c r="G684" s="47"/>
      <c r="H684" s="84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47"/>
      <c r="U684" s="47"/>
      <c r="V684" s="47"/>
      <c r="W684" s="47"/>
      <c r="X684" s="47"/>
      <c r="Y684" s="47"/>
      <c r="Z684" s="47"/>
    </row>
    <row r="685" spans="1:26" ht="12.75" customHeight="1">
      <c r="A685" s="47"/>
      <c r="B685" s="47"/>
      <c r="C685" s="47"/>
      <c r="D685" s="47"/>
      <c r="E685" s="47"/>
      <c r="F685" s="47"/>
      <c r="G685" s="47"/>
      <c r="H685" s="84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47"/>
      <c r="U685" s="47"/>
      <c r="V685" s="47"/>
      <c r="W685" s="47"/>
      <c r="X685" s="47"/>
      <c r="Y685" s="47"/>
      <c r="Z685" s="47"/>
    </row>
    <row r="686" spans="1:26" ht="12.75" customHeight="1">
      <c r="A686" s="47"/>
      <c r="B686" s="47"/>
      <c r="C686" s="47"/>
      <c r="D686" s="47"/>
      <c r="E686" s="47"/>
      <c r="F686" s="47"/>
      <c r="G686" s="47"/>
      <c r="H686" s="84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47"/>
      <c r="U686" s="47"/>
      <c r="V686" s="47"/>
      <c r="W686" s="47"/>
      <c r="X686" s="47"/>
      <c r="Y686" s="47"/>
      <c r="Z686" s="47"/>
    </row>
    <row r="687" spans="1:26" ht="12.75" customHeight="1">
      <c r="A687" s="47"/>
      <c r="B687" s="47"/>
      <c r="C687" s="47"/>
      <c r="D687" s="47"/>
      <c r="E687" s="47"/>
      <c r="F687" s="47"/>
      <c r="G687" s="47"/>
      <c r="H687" s="84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47"/>
      <c r="U687" s="47"/>
      <c r="V687" s="47"/>
      <c r="W687" s="47"/>
      <c r="X687" s="47"/>
      <c r="Y687" s="47"/>
      <c r="Z687" s="47"/>
    </row>
    <row r="688" spans="1:26" ht="12.75" customHeight="1">
      <c r="A688" s="47"/>
      <c r="B688" s="47"/>
      <c r="C688" s="47"/>
      <c r="D688" s="47"/>
      <c r="E688" s="47"/>
      <c r="F688" s="47"/>
      <c r="G688" s="47"/>
      <c r="H688" s="84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47"/>
      <c r="U688" s="47"/>
      <c r="V688" s="47"/>
      <c r="W688" s="47"/>
      <c r="X688" s="47"/>
      <c r="Y688" s="47"/>
      <c r="Z688" s="47"/>
    </row>
    <row r="689" spans="1:26" ht="12.75" customHeight="1">
      <c r="A689" s="47"/>
      <c r="B689" s="47"/>
      <c r="C689" s="47"/>
      <c r="D689" s="47"/>
      <c r="E689" s="47"/>
      <c r="F689" s="47"/>
      <c r="G689" s="47"/>
      <c r="H689" s="84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47"/>
      <c r="U689" s="47"/>
      <c r="V689" s="47"/>
      <c r="W689" s="47"/>
      <c r="X689" s="47"/>
      <c r="Y689" s="47"/>
      <c r="Z689" s="47"/>
    </row>
    <row r="690" spans="1:26" ht="12.75" customHeight="1">
      <c r="A690" s="47"/>
      <c r="B690" s="47"/>
      <c r="C690" s="47"/>
      <c r="D690" s="47"/>
      <c r="E690" s="47"/>
      <c r="F690" s="47"/>
      <c r="G690" s="47"/>
      <c r="H690" s="84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47"/>
      <c r="U690" s="47"/>
      <c r="V690" s="47"/>
      <c r="W690" s="47"/>
      <c r="X690" s="47"/>
      <c r="Y690" s="47"/>
      <c r="Z690" s="47"/>
    </row>
    <row r="691" spans="1:26" ht="12.75" customHeight="1">
      <c r="A691" s="47"/>
      <c r="B691" s="47"/>
      <c r="C691" s="47"/>
      <c r="D691" s="47"/>
      <c r="E691" s="47"/>
      <c r="F691" s="47"/>
      <c r="G691" s="47"/>
      <c r="H691" s="84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47"/>
      <c r="U691" s="47"/>
      <c r="V691" s="47"/>
      <c r="W691" s="47"/>
      <c r="X691" s="47"/>
      <c r="Y691" s="47"/>
      <c r="Z691" s="47"/>
    </row>
    <row r="692" spans="1:26" ht="12.75" customHeight="1">
      <c r="A692" s="47"/>
      <c r="B692" s="47"/>
      <c r="C692" s="47"/>
      <c r="D692" s="47"/>
      <c r="E692" s="47"/>
      <c r="F692" s="47"/>
      <c r="G692" s="47"/>
      <c r="H692" s="84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47"/>
      <c r="U692" s="47"/>
      <c r="V692" s="47"/>
      <c r="W692" s="47"/>
      <c r="X692" s="47"/>
      <c r="Y692" s="47"/>
      <c r="Z692" s="47"/>
    </row>
    <row r="693" spans="1:26" ht="12.75" customHeight="1">
      <c r="A693" s="47"/>
      <c r="B693" s="47"/>
      <c r="C693" s="47"/>
      <c r="D693" s="47"/>
      <c r="E693" s="47"/>
      <c r="F693" s="47"/>
      <c r="G693" s="47"/>
      <c r="H693" s="84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47"/>
      <c r="U693" s="47"/>
      <c r="V693" s="47"/>
      <c r="W693" s="47"/>
      <c r="X693" s="47"/>
      <c r="Y693" s="47"/>
      <c r="Z693" s="47"/>
    </row>
    <row r="694" spans="1:26" ht="12.75" customHeight="1">
      <c r="A694" s="47"/>
      <c r="B694" s="47"/>
      <c r="C694" s="47"/>
      <c r="D694" s="47"/>
      <c r="E694" s="47"/>
      <c r="F694" s="47"/>
      <c r="G694" s="47"/>
      <c r="H694" s="84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47"/>
      <c r="U694" s="47"/>
      <c r="V694" s="47"/>
      <c r="W694" s="47"/>
      <c r="X694" s="47"/>
      <c r="Y694" s="47"/>
      <c r="Z694" s="47"/>
    </row>
    <row r="695" spans="1:26" ht="12.75" customHeight="1">
      <c r="A695" s="47"/>
      <c r="B695" s="47"/>
      <c r="C695" s="47"/>
      <c r="D695" s="47"/>
      <c r="E695" s="47"/>
      <c r="F695" s="47"/>
      <c r="G695" s="47"/>
      <c r="H695" s="84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47"/>
      <c r="U695" s="47"/>
      <c r="V695" s="47"/>
      <c r="W695" s="47"/>
      <c r="X695" s="47"/>
      <c r="Y695" s="47"/>
      <c r="Z695" s="47"/>
    </row>
    <row r="696" spans="1:26" ht="12.75" customHeight="1">
      <c r="A696" s="47"/>
      <c r="B696" s="47"/>
      <c r="C696" s="47"/>
      <c r="D696" s="47"/>
      <c r="E696" s="47"/>
      <c r="F696" s="47"/>
      <c r="G696" s="47"/>
      <c r="H696" s="84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47"/>
      <c r="U696" s="47"/>
      <c r="V696" s="47"/>
      <c r="W696" s="47"/>
      <c r="X696" s="47"/>
      <c r="Y696" s="47"/>
      <c r="Z696" s="47"/>
    </row>
    <row r="697" spans="1:26" ht="12.75" customHeight="1">
      <c r="A697" s="47"/>
      <c r="B697" s="47"/>
      <c r="C697" s="47"/>
      <c r="D697" s="47"/>
      <c r="E697" s="47"/>
      <c r="F697" s="47"/>
      <c r="G697" s="47"/>
      <c r="H697" s="84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47"/>
      <c r="U697" s="47"/>
      <c r="V697" s="47"/>
      <c r="W697" s="47"/>
      <c r="X697" s="47"/>
      <c r="Y697" s="47"/>
      <c r="Z697" s="47"/>
    </row>
    <row r="698" spans="1:26" ht="12.75" customHeight="1">
      <c r="A698" s="47"/>
      <c r="B698" s="47"/>
      <c r="C698" s="47"/>
      <c r="D698" s="47"/>
      <c r="E698" s="47"/>
      <c r="F698" s="47"/>
      <c r="G698" s="47"/>
      <c r="H698" s="84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47"/>
      <c r="U698" s="47"/>
      <c r="V698" s="47"/>
      <c r="W698" s="47"/>
      <c r="X698" s="47"/>
      <c r="Y698" s="47"/>
      <c r="Z698" s="47"/>
    </row>
    <row r="699" spans="1:26" ht="12.75" customHeight="1">
      <c r="A699" s="47"/>
      <c r="B699" s="47"/>
      <c r="C699" s="47"/>
      <c r="D699" s="47"/>
      <c r="E699" s="47"/>
      <c r="F699" s="47"/>
      <c r="G699" s="47"/>
      <c r="H699" s="84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47"/>
      <c r="U699" s="47"/>
      <c r="V699" s="47"/>
      <c r="W699" s="47"/>
      <c r="X699" s="47"/>
      <c r="Y699" s="47"/>
      <c r="Z699" s="47"/>
    </row>
    <row r="700" spans="1:26" ht="12.75" customHeight="1">
      <c r="A700" s="47"/>
      <c r="B700" s="47"/>
      <c r="C700" s="47"/>
      <c r="D700" s="47"/>
      <c r="E700" s="47"/>
      <c r="F700" s="47"/>
      <c r="G700" s="47"/>
      <c r="H700" s="84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47"/>
      <c r="U700" s="47"/>
      <c r="V700" s="47"/>
      <c r="W700" s="47"/>
      <c r="X700" s="47"/>
      <c r="Y700" s="47"/>
      <c r="Z700" s="47"/>
    </row>
    <row r="701" spans="1:26" ht="12.75" customHeight="1">
      <c r="A701" s="47"/>
      <c r="B701" s="47"/>
      <c r="C701" s="47"/>
      <c r="D701" s="47"/>
      <c r="E701" s="47"/>
      <c r="F701" s="47"/>
      <c r="G701" s="47"/>
      <c r="H701" s="84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47"/>
      <c r="U701" s="47"/>
      <c r="V701" s="47"/>
      <c r="W701" s="47"/>
      <c r="X701" s="47"/>
      <c r="Y701" s="47"/>
      <c r="Z701" s="47"/>
    </row>
    <row r="702" spans="1:26" ht="12.75" customHeight="1">
      <c r="A702" s="47"/>
      <c r="B702" s="47"/>
      <c r="C702" s="47"/>
      <c r="D702" s="47"/>
      <c r="E702" s="47"/>
      <c r="F702" s="47"/>
      <c r="G702" s="47"/>
      <c r="H702" s="84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47"/>
      <c r="U702" s="47"/>
      <c r="V702" s="47"/>
      <c r="W702" s="47"/>
      <c r="X702" s="47"/>
      <c r="Y702" s="47"/>
      <c r="Z702" s="47"/>
    </row>
    <row r="703" spans="1:26" ht="12.75" customHeight="1">
      <c r="A703" s="47"/>
      <c r="B703" s="47"/>
      <c r="C703" s="47"/>
      <c r="D703" s="47"/>
      <c r="E703" s="47"/>
      <c r="F703" s="47"/>
      <c r="G703" s="47"/>
      <c r="H703" s="84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47"/>
      <c r="U703" s="47"/>
      <c r="V703" s="47"/>
      <c r="W703" s="47"/>
      <c r="X703" s="47"/>
      <c r="Y703" s="47"/>
      <c r="Z703" s="47"/>
    </row>
    <row r="704" spans="1:26" ht="12.75" customHeight="1">
      <c r="A704" s="47"/>
      <c r="B704" s="47"/>
      <c r="C704" s="47"/>
      <c r="D704" s="47"/>
      <c r="E704" s="47"/>
      <c r="F704" s="47"/>
      <c r="G704" s="47"/>
      <c r="H704" s="84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47"/>
      <c r="U704" s="47"/>
      <c r="V704" s="47"/>
      <c r="W704" s="47"/>
      <c r="X704" s="47"/>
      <c r="Y704" s="47"/>
      <c r="Z704" s="47"/>
    </row>
    <row r="705" spans="1:26" ht="12.75" customHeight="1">
      <c r="A705" s="47"/>
      <c r="B705" s="47"/>
      <c r="C705" s="47"/>
      <c r="D705" s="47"/>
      <c r="E705" s="47"/>
      <c r="F705" s="47"/>
      <c r="G705" s="47"/>
      <c r="H705" s="84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47"/>
      <c r="U705" s="47"/>
      <c r="V705" s="47"/>
      <c r="W705" s="47"/>
      <c r="X705" s="47"/>
      <c r="Y705" s="47"/>
      <c r="Z705" s="47"/>
    </row>
    <row r="706" spans="1:26" ht="12.75" customHeight="1">
      <c r="A706" s="47"/>
      <c r="B706" s="47"/>
      <c r="C706" s="47"/>
      <c r="D706" s="47"/>
      <c r="E706" s="47"/>
      <c r="F706" s="47"/>
      <c r="G706" s="47"/>
      <c r="H706" s="84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47"/>
      <c r="U706" s="47"/>
      <c r="V706" s="47"/>
      <c r="W706" s="47"/>
      <c r="X706" s="47"/>
      <c r="Y706" s="47"/>
      <c r="Z706" s="47"/>
    </row>
    <row r="707" spans="1:26" ht="12.75" customHeight="1">
      <c r="A707" s="47"/>
      <c r="B707" s="47"/>
      <c r="C707" s="47"/>
      <c r="D707" s="47"/>
      <c r="E707" s="47"/>
      <c r="F707" s="47"/>
      <c r="G707" s="47"/>
      <c r="H707" s="84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47"/>
      <c r="U707" s="47"/>
      <c r="V707" s="47"/>
      <c r="W707" s="47"/>
      <c r="X707" s="47"/>
      <c r="Y707" s="47"/>
      <c r="Z707" s="47"/>
    </row>
    <row r="708" spans="1:26" ht="12.75" customHeight="1">
      <c r="A708" s="47"/>
      <c r="B708" s="47"/>
      <c r="C708" s="47"/>
      <c r="D708" s="47"/>
      <c r="E708" s="47"/>
      <c r="F708" s="47"/>
      <c r="G708" s="47"/>
      <c r="H708" s="84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47"/>
      <c r="U708" s="47"/>
      <c r="V708" s="47"/>
      <c r="W708" s="47"/>
      <c r="X708" s="47"/>
      <c r="Y708" s="47"/>
      <c r="Z708" s="47"/>
    </row>
    <row r="709" spans="1:26" ht="12.75" customHeight="1">
      <c r="A709" s="47"/>
      <c r="B709" s="47"/>
      <c r="C709" s="47"/>
      <c r="D709" s="47"/>
      <c r="E709" s="47"/>
      <c r="F709" s="47"/>
      <c r="G709" s="47"/>
      <c r="H709" s="84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47"/>
      <c r="U709" s="47"/>
      <c r="V709" s="47"/>
      <c r="W709" s="47"/>
      <c r="X709" s="47"/>
      <c r="Y709" s="47"/>
      <c r="Z709" s="47"/>
    </row>
    <row r="710" spans="1:26" ht="12.75" customHeight="1">
      <c r="A710" s="47"/>
      <c r="B710" s="47"/>
      <c r="C710" s="47"/>
      <c r="D710" s="47"/>
      <c r="E710" s="47"/>
      <c r="F710" s="47"/>
      <c r="G710" s="47"/>
      <c r="H710" s="84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47"/>
      <c r="U710" s="47"/>
      <c r="V710" s="47"/>
      <c r="W710" s="47"/>
      <c r="X710" s="47"/>
      <c r="Y710" s="47"/>
      <c r="Z710" s="47"/>
    </row>
    <row r="711" spans="1:26" ht="12.75" customHeight="1">
      <c r="A711" s="47"/>
      <c r="B711" s="47"/>
      <c r="C711" s="47"/>
      <c r="D711" s="47"/>
      <c r="E711" s="47"/>
      <c r="F711" s="47"/>
      <c r="G711" s="47"/>
      <c r="H711" s="84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47"/>
      <c r="U711" s="47"/>
      <c r="V711" s="47"/>
      <c r="W711" s="47"/>
      <c r="X711" s="47"/>
      <c r="Y711" s="47"/>
      <c r="Z711" s="47"/>
    </row>
    <row r="712" spans="1:26" ht="12.75" customHeight="1">
      <c r="A712" s="47"/>
      <c r="B712" s="47"/>
      <c r="C712" s="47"/>
      <c r="D712" s="47"/>
      <c r="E712" s="47"/>
      <c r="F712" s="47"/>
      <c r="G712" s="47"/>
      <c r="H712" s="84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47"/>
      <c r="U712" s="47"/>
      <c r="V712" s="47"/>
      <c r="W712" s="47"/>
      <c r="X712" s="47"/>
      <c r="Y712" s="47"/>
      <c r="Z712" s="47"/>
    </row>
    <row r="713" spans="1:26" ht="12.75" customHeight="1">
      <c r="A713" s="47"/>
      <c r="B713" s="47"/>
      <c r="C713" s="47"/>
      <c r="D713" s="47"/>
      <c r="E713" s="47"/>
      <c r="F713" s="47"/>
      <c r="G713" s="47"/>
      <c r="H713" s="84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47"/>
      <c r="U713" s="47"/>
      <c r="V713" s="47"/>
      <c r="W713" s="47"/>
      <c r="X713" s="47"/>
      <c r="Y713" s="47"/>
      <c r="Z713" s="47"/>
    </row>
    <row r="714" spans="1:26" ht="12.75" customHeight="1">
      <c r="A714" s="47"/>
      <c r="B714" s="47"/>
      <c r="C714" s="47"/>
      <c r="D714" s="47"/>
      <c r="E714" s="47"/>
      <c r="F714" s="47"/>
      <c r="G714" s="47"/>
      <c r="H714" s="84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47"/>
      <c r="U714" s="47"/>
      <c r="V714" s="47"/>
      <c r="W714" s="47"/>
      <c r="X714" s="47"/>
      <c r="Y714" s="47"/>
      <c r="Z714" s="47"/>
    </row>
    <row r="715" spans="1:26" ht="12.75" customHeight="1">
      <c r="A715" s="47"/>
      <c r="B715" s="47"/>
      <c r="C715" s="47"/>
      <c r="D715" s="47"/>
      <c r="E715" s="47"/>
      <c r="F715" s="47"/>
      <c r="G715" s="47"/>
      <c r="H715" s="84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47"/>
      <c r="U715" s="47"/>
      <c r="V715" s="47"/>
      <c r="W715" s="47"/>
      <c r="X715" s="47"/>
      <c r="Y715" s="47"/>
      <c r="Z715" s="47"/>
    </row>
    <row r="716" spans="1:26" ht="12.75" customHeight="1">
      <c r="A716" s="47"/>
      <c r="B716" s="47"/>
      <c r="C716" s="47"/>
      <c r="D716" s="47"/>
      <c r="E716" s="47"/>
      <c r="F716" s="47"/>
      <c r="G716" s="47"/>
      <c r="H716" s="84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47"/>
      <c r="U716" s="47"/>
      <c r="V716" s="47"/>
      <c r="W716" s="47"/>
      <c r="X716" s="47"/>
      <c r="Y716" s="47"/>
      <c r="Z716" s="47"/>
    </row>
    <row r="717" spans="1:26" ht="12.75" customHeight="1">
      <c r="A717" s="47"/>
      <c r="B717" s="47"/>
      <c r="C717" s="47"/>
      <c r="D717" s="47"/>
      <c r="E717" s="47"/>
      <c r="F717" s="47"/>
      <c r="G717" s="47"/>
      <c r="H717" s="84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47"/>
      <c r="U717" s="47"/>
      <c r="V717" s="47"/>
      <c r="W717" s="47"/>
      <c r="X717" s="47"/>
      <c r="Y717" s="47"/>
      <c r="Z717" s="47"/>
    </row>
    <row r="718" spans="1:26" ht="12.75" customHeight="1">
      <c r="A718" s="47"/>
      <c r="B718" s="47"/>
      <c r="C718" s="47"/>
      <c r="D718" s="47"/>
      <c r="E718" s="47"/>
      <c r="F718" s="47"/>
      <c r="G718" s="47"/>
      <c r="H718" s="84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47"/>
      <c r="U718" s="47"/>
      <c r="V718" s="47"/>
      <c r="W718" s="47"/>
      <c r="X718" s="47"/>
      <c r="Y718" s="47"/>
      <c r="Z718" s="47"/>
    </row>
    <row r="719" spans="1:26" ht="12.75" customHeight="1">
      <c r="A719" s="47"/>
      <c r="B719" s="47"/>
      <c r="C719" s="47"/>
      <c r="D719" s="47"/>
      <c r="E719" s="47"/>
      <c r="F719" s="47"/>
      <c r="G719" s="47"/>
      <c r="H719" s="84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47"/>
      <c r="U719" s="47"/>
      <c r="V719" s="47"/>
      <c r="W719" s="47"/>
      <c r="X719" s="47"/>
      <c r="Y719" s="47"/>
      <c r="Z719" s="47"/>
    </row>
    <row r="720" spans="1:26" ht="12.75" customHeight="1">
      <c r="A720" s="47"/>
      <c r="B720" s="47"/>
      <c r="C720" s="47"/>
      <c r="D720" s="47"/>
      <c r="E720" s="47"/>
      <c r="F720" s="47"/>
      <c r="G720" s="47"/>
      <c r="H720" s="84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47"/>
      <c r="U720" s="47"/>
      <c r="V720" s="47"/>
      <c r="W720" s="47"/>
      <c r="X720" s="47"/>
      <c r="Y720" s="47"/>
      <c r="Z720" s="47"/>
    </row>
    <row r="721" spans="1:26" ht="12.75" customHeight="1">
      <c r="A721" s="47"/>
      <c r="B721" s="47"/>
      <c r="C721" s="47"/>
      <c r="D721" s="47"/>
      <c r="E721" s="47"/>
      <c r="F721" s="47"/>
      <c r="G721" s="47"/>
      <c r="H721" s="84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47"/>
      <c r="U721" s="47"/>
      <c r="V721" s="47"/>
      <c r="W721" s="47"/>
      <c r="X721" s="47"/>
      <c r="Y721" s="47"/>
      <c r="Z721" s="47"/>
    </row>
    <row r="722" spans="1:26" ht="12.75" customHeight="1">
      <c r="A722" s="47"/>
      <c r="B722" s="47"/>
      <c r="C722" s="47"/>
      <c r="D722" s="47"/>
      <c r="E722" s="47"/>
      <c r="F722" s="47"/>
      <c r="G722" s="47"/>
      <c r="H722" s="84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47"/>
      <c r="U722" s="47"/>
      <c r="V722" s="47"/>
      <c r="W722" s="47"/>
      <c r="X722" s="47"/>
      <c r="Y722" s="47"/>
      <c r="Z722" s="47"/>
    </row>
    <row r="723" spans="1:26" ht="12.75" customHeight="1">
      <c r="A723" s="47"/>
      <c r="B723" s="47"/>
      <c r="C723" s="47"/>
      <c r="D723" s="47"/>
      <c r="E723" s="47"/>
      <c r="F723" s="47"/>
      <c r="G723" s="47"/>
      <c r="H723" s="84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47"/>
      <c r="U723" s="47"/>
      <c r="V723" s="47"/>
      <c r="W723" s="47"/>
      <c r="X723" s="47"/>
      <c r="Y723" s="47"/>
      <c r="Z723" s="47"/>
    </row>
    <row r="724" spans="1:26" ht="12.75" customHeight="1">
      <c r="A724" s="47"/>
      <c r="B724" s="47"/>
      <c r="C724" s="47"/>
      <c r="D724" s="47"/>
      <c r="E724" s="47"/>
      <c r="F724" s="47"/>
      <c r="G724" s="47"/>
      <c r="H724" s="84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47"/>
      <c r="U724" s="47"/>
      <c r="V724" s="47"/>
      <c r="W724" s="47"/>
      <c r="X724" s="47"/>
      <c r="Y724" s="47"/>
      <c r="Z724" s="47"/>
    </row>
    <row r="725" spans="1:26" ht="12.75" customHeight="1">
      <c r="A725" s="47"/>
      <c r="B725" s="47"/>
      <c r="C725" s="47"/>
      <c r="D725" s="47"/>
      <c r="E725" s="47"/>
      <c r="F725" s="47"/>
      <c r="G725" s="47"/>
      <c r="H725" s="84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47"/>
      <c r="U725" s="47"/>
      <c r="V725" s="47"/>
      <c r="W725" s="47"/>
      <c r="X725" s="47"/>
      <c r="Y725" s="47"/>
      <c r="Z725" s="47"/>
    </row>
    <row r="726" spans="1:26" ht="12.75" customHeight="1">
      <c r="A726" s="47"/>
      <c r="B726" s="47"/>
      <c r="C726" s="47"/>
      <c r="D726" s="47"/>
      <c r="E726" s="47"/>
      <c r="F726" s="47"/>
      <c r="G726" s="47"/>
      <c r="H726" s="84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47"/>
      <c r="U726" s="47"/>
      <c r="V726" s="47"/>
      <c r="W726" s="47"/>
      <c r="X726" s="47"/>
      <c r="Y726" s="47"/>
      <c r="Z726" s="47"/>
    </row>
    <row r="727" spans="1:26" ht="12.75" customHeight="1">
      <c r="A727" s="47"/>
      <c r="B727" s="47"/>
      <c r="C727" s="47"/>
      <c r="D727" s="47"/>
      <c r="E727" s="47"/>
      <c r="F727" s="47"/>
      <c r="G727" s="47"/>
      <c r="H727" s="84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47"/>
      <c r="U727" s="47"/>
      <c r="V727" s="47"/>
      <c r="W727" s="47"/>
      <c r="X727" s="47"/>
      <c r="Y727" s="47"/>
      <c r="Z727" s="47"/>
    </row>
    <row r="728" spans="1:26" ht="12.75" customHeight="1">
      <c r="A728" s="47"/>
      <c r="B728" s="47"/>
      <c r="C728" s="47"/>
      <c r="D728" s="47"/>
      <c r="E728" s="47"/>
      <c r="F728" s="47"/>
      <c r="G728" s="47"/>
      <c r="H728" s="84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47"/>
      <c r="U728" s="47"/>
      <c r="V728" s="47"/>
      <c r="W728" s="47"/>
      <c r="X728" s="47"/>
      <c r="Y728" s="47"/>
      <c r="Z728" s="47"/>
    </row>
    <row r="729" spans="1:26" ht="12.75" customHeight="1">
      <c r="A729" s="47"/>
      <c r="B729" s="47"/>
      <c r="C729" s="47"/>
      <c r="D729" s="47"/>
      <c r="E729" s="47"/>
      <c r="F729" s="47"/>
      <c r="G729" s="47"/>
      <c r="H729" s="84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47"/>
      <c r="U729" s="47"/>
      <c r="V729" s="47"/>
      <c r="W729" s="47"/>
      <c r="X729" s="47"/>
      <c r="Y729" s="47"/>
      <c r="Z729" s="47"/>
    </row>
    <row r="730" spans="1:26" ht="12.75" customHeight="1">
      <c r="A730" s="47"/>
      <c r="B730" s="47"/>
      <c r="C730" s="47"/>
      <c r="D730" s="47"/>
      <c r="E730" s="47"/>
      <c r="F730" s="47"/>
      <c r="G730" s="47"/>
      <c r="H730" s="84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47"/>
      <c r="U730" s="47"/>
      <c r="V730" s="47"/>
      <c r="W730" s="47"/>
      <c r="X730" s="47"/>
      <c r="Y730" s="47"/>
      <c r="Z730" s="47"/>
    </row>
    <row r="731" spans="1:26" ht="12.75" customHeight="1">
      <c r="A731" s="47"/>
      <c r="B731" s="47"/>
      <c r="C731" s="47"/>
      <c r="D731" s="47"/>
      <c r="E731" s="47"/>
      <c r="F731" s="47"/>
      <c r="G731" s="47"/>
      <c r="H731" s="84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47"/>
      <c r="U731" s="47"/>
      <c r="V731" s="47"/>
      <c r="W731" s="47"/>
      <c r="X731" s="47"/>
      <c r="Y731" s="47"/>
      <c r="Z731" s="47"/>
    </row>
    <row r="732" spans="1:26" ht="12.75" customHeight="1">
      <c r="A732" s="47"/>
      <c r="B732" s="47"/>
      <c r="C732" s="47"/>
      <c r="D732" s="47"/>
      <c r="E732" s="47"/>
      <c r="F732" s="47"/>
      <c r="G732" s="47"/>
      <c r="H732" s="84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47"/>
      <c r="U732" s="47"/>
      <c r="V732" s="47"/>
      <c r="W732" s="47"/>
      <c r="X732" s="47"/>
      <c r="Y732" s="47"/>
      <c r="Z732" s="47"/>
    </row>
    <row r="733" spans="1:26" ht="12.75" customHeight="1">
      <c r="A733" s="47"/>
      <c r="B733" s="47"/>
      <c r="C733" s="47"/>
      <c r="D733" s="47"/>
      <c r="E733" s="47"/>
      <c r="F733" s="47"/>
      <c r="G733" s="47"/>
      <c r="H733" s="84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47"/>
      <c r="U733" s="47"/>
      <c r="V733" s="47"/>
      <c r="W733" s="47"/>
      <c r="X733" s="47"/>
      <c r="Y733" s="47"/>
      <c r="Z733" s="47"/>
    </row>
    <row r="734" spans="1:26" ht="12.75" customHeight="1">
      <c r="A734" s="47"/>
      <c r="B734" s="47"/>
      <c r="C734" s="47"/>
      <c r="D734" s="47"/>
      <c r="E734" s="47"/>
      <c r="F734" s="47"/>
      <c r="G734" s="47"/>
      <c r="H734" s="84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47"/>
      <c r="U734" s="47"/>
      <c r="V734" s="47"/>
      <c r="W734" s="47"/>
      <c r="X734" s="47"/>
      <c r="Y734" s="47"/>
      <c r="Z734" s="47"/>
    </row>
    <row r="735" spans="1:26" ht="12.75" customHeight="1">
      <c r="A735" s="47"/>
      <c r="B735" s="47"/>
      <c r="C735" s="47"/>
      <c r="D735" s="47"/>
      <c r="E735" s="47"/>
      <c r="F735" s="47"/>
      <c r="G735" s="47"/>
      <c r="H735" s="84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47"/>
      <c r="U735" s="47"/>
      <c r="V735" s="47"/>
      <c r="W735" s="47"/>
      <c r="X735" s="47"/>
      <c r="Y735" s="47"/>
      <c r="Z735" s="47"/>
    </row>
    <row r="736" spans="1:26" ht="12.75" customHeight="1">
      <c r="A736" s="47"/>
      <c r="B736" s="47"/>
      <c r="C736" s="47"/>
      <c r="D736" s="47"/>
      <c r="E736" s="47"/>
      <c r="F736" s="47"/>
      <c r="G736" s="47"/>
      <c r="H736" s="84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47"/>
      <c r="U736" s="47"/>
      <c r="V736" s="47"/>
      <c r="W736" s="47"/>
      <c r="X736" s="47"/>
      <c r="Y736" s="47"/>
      <c r="Z736" s="47"/>
    </row>
    <row r="737" spans="1:26" ht="12.75" customHeight="1">
      <c r="A737" s="47"/>
      <c r="B737" s="47"/>
      <c r="C737" s="47"/>
      <c r="D737" s="47"/>
      <c r="E737" s="47"/>
      <c r="F737" s="47"/>
      <c r="G737" s="47"/>
      <c r="H737" s="84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47"/>
      <c r="U737" s="47"/>
      <c r="V737" s="47"/>
      <c r="W737" s="47"/>
      <c r="X737" s="47"/>
      <c r="Y737" s="47"/>
      <c r="Z737" s="47"/>
    </row>
    <row r="738" spans="1:26" ht="12.75" customHeight="1">
      <c r="A738" s="47"/>
      <c r="B738" s="47"/>
      <c r="C738" s="47"/>
      <c r="D738" s="47"/>
      <c r="E738" s="47"/>
      <c r="F738" s="47"/>
      <c r="G738" s="47"/>
      <c r="H738" s="84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47"/>
      <c r="U738" s="47"/>
      <c r="V738" s="47"/>
      <c r="W738" s="47"/>
      <c r="X738" s="47"/>
      <c r="Y738" s="47"/>
      <c r="Z738" s="47"/>
    </row>
    <row r="739" spans="1:26" ht="12.75" customHeight="1">
      <c r="A739" s="47"/>
      <c r="B739" s="47"/>
      <c r="C739" s="47"/>
      <c r="D739" s="47"/>
      <c r="E739" s="47"/>
      <c r="F739" s="47"/>
      <c r="G739" s="47"/>
      <c r="H739" s="84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47"/>
      <c r="U739" s="47"/>
      <c r="V739" s="47"/>
      <c r="W739" s="47"/>
      <c r="X739" s="47"/>
      <c r="Y739" s="47"/>
      <c r="Z739" s="47"/>
    </row>
    <row r="740" spans="1:26" ht="12.75" customHeight="1">
      <c r="A740" s="47"/>
      <c r="B740" s="47"/>
      <c r="C740" s="47"/>
      <c r="D740" s="47"/>
      <c r="E740" s="47"/>
      <c r="F740" s="47"/>
      <c r="G740" s="47"/>
      <c r="H740" s="84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47"/>
      <c r="U740" s="47"/>
      <c r="V740" s="47"/>
      <c r="W740" s="47"/>
      <c r="X740" s="47"/>
      <c r="Y740" s="47"/>
      <c r="Z740" s="47"/>
    </row>
    <row r="741" spans="1:26" ht="12.75" customHeight="1">
      <c r="A741" s="47"/>
      <c r="B741" s="47"/>
      <c r="C741" s="47"/>
      <c r="D741" s="47"/>
      <c r="E741" s="47"/>
      <c r="F741" s="47"/>
      <c r="G741" s="47"/>
      <c r="H741" s="84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47"/>
      <c r="U741" s="47"/>
      <c r="V741" s="47"/>
      <c r="W741" s="47"/>
      <c r="X741" s="47"/>
      <c r="Y741" s="47"/>
      <c r="Z741" s="47"/>
    </row>
    <row r="742" spans="1:26" ht="12.75" customHeight="1">
      <c r="A742" s="47"/>
      <c r="B742" s="47"/>
      <c r="C742" s="47"/>
      <c r="D742" s="47"/>
      <c r="E742" s="47"/>
      <c r="F742" s="47"/>
      <c r="G742" s="47"/>
      <c r="H742" s="84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47"/>
      <c r="U742" s="47"/>
      <c r="V742" s="47"/>
      <c r="W742" s="47"/>
      <c r="X742" s="47"/>
      <c r="Y742" s="47"/>
      <c r="Z742" s="47"/>
    </row>
    <row r="743" spans="1:26" ht="12.75" customHeight="1">
      <c r="A743" s="47"/>
      <c r="B743" s="47"/>
      <c r="C743" s="47"/>
      <c r="D743" s="47"/>
      <c r="E743" s="47"/>
      <c r="F743" s="47"/>
      <c r="G743" s="47"/>
      <c r="H743" s="84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47"/>
      <c r="U743" s="47"/>
      <c r="V743" s="47"/>
      <c r="W743" s="47"/>
      <c r="X743" s="47"/>
      <c r="Y743" s="47"/>
      <c r="Z743" s="47"/>
    </row>
    <row r="744" spans="1:26" ht="12.75" customHeight="1">
      <c r="A744" s="47"/>
      <c r="B744" s="47"/>
      <c r="C744" s="47"/>
      <c r="D744" s="47"/>
      <c r="E744" s="47"/>
      <c r="F744" s="47"/>
      <c r="G744" s="47"/>
      <c r="H744" s="84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47"/>
      <c r="U744" s="47"/>
      <c r="V744" s="47"/>
      <c r="W744" s="47"/>
      <c r="X744" s="47"/>
      <c r="Y744" s="47"/>
      <c r="Z744" s="47"/>
    </row>
    <row r="745" spans="1:26" ht="12.75" customHeight="1">
      <c r="A745" s="47"/>
      <c r="B745" s="47"/>
      <c r="C745" s="47"/>
      <c r="D745" s="47"/>
      <c r="E745" s="47"/>
      <c r="F745" s="47"/>
      <c r="G745" s="47"/>
      <c r="H745" s="84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47"/>
      <c r="U745" s="47"/>
      <c r="V745" s="47"/>
      <c r="W745" s="47"/>
      <c r="X745" s="47"/>
      <c r="Y745" s="47"/>
      <c r="Z745" s="47"/>
    </row>
    <row r="746" spans="1:26" ht="12.75" customHeight="1">
      <c r="A746" s="47"/>
      <c r="B746" s="47"/>
      <c r="C746" s="47"/>
      <c r="D746" s="47"/>
      <c r="E746" s="47"/>
      <c r="F746" s="47"/>
      <c r="G746" s="47"/>
      <c r="H746" s="84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47"/>
      <c r="U746" s="47"/>
      <c r="V746" s="47"/>
      <c r="W746" s="47"/>
      <c r="X746" s="47"/>
      <c r="Y746" s="47"/>
      <c r="Z746" s="47"/>
    </row>
    <row r="747" spans="1:26" ht="12.75" customHeight="1">
      <c r="A747" s="47"/>
      <c r="B747" s="47"/>
      <c r="C747" s="47"/>
      <c r="D747" s="47"/>
      <c r="E747" s="47"/>
      <c r="F747" s="47"/>
      <c r="G747" s="47"/>
      <c r="H747" s="84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47"/>
      <c r="U747" s="47"/>
      <c r="V747" s="47"/>
      <c r="W747" s="47"/>
      <c r="X747" s="47"/>
      <c r="Y747" s="47"/>
      <c r="Z747" s="47"/>
    </row>
    <row r="748" spans="1:26" ht="12.75" customHeight="1">
      <c r="A748" s="47"/>
      <c r="B748" s="47"/>
      <c r="C748" s="47"/>
      <c r="D748" s="47"/>
      <c r="E748" s="47"/>
      <c r="F748" s="47"/>
      <c r="G748" s="47"/>
      <c r="H748" s="84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47"/>
      <c r="U748" s="47"/>
      <c r="V748" s="47"/>
      <c r="W748" s="47"/>
      <c r="X748" s="47"/>
      <c r="Y748" s="47"/>
      <c r="Z748" s="47"/>
    </row>
    <row r="749" spans="1:26" ht="12.75" customHeight="1">
      <c r="A749" s="47"/>
      <c r="B749" s="47"/>
      <c r="C749" s="47"/>
      <c r="D749" s="47"/>
      <c r="E749" s="47"/>
      <c r="F749" s="47"/>
      <c r="G749" s="47"/>
      <c r="H749" s="84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47"/>
      <c r="U749" s="47"/>
      <c r="V749" s="47"/>
      <c r="W749" s="47"/>
      <c r="X749" s="47"/>
      <c r="Y749" s="47"/>
      <c r="Z749" s="47"/>
    </row>
    <row r="750" spans="1:26" ht="12.75" customHeight="1">
      <c r="A750" s="47"/>
      <c r="B750" s="47"/>
      <c r="C750" s="47"/>
      <c r="D750" s="47"/>
      <c r="E750" s="47"/>
      <c r="F750" s="47"/>
      <c r="G750" s="47"/>
      <c r="H750" s="84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47"/>
      <c r="U750" s="47"/>
      <c r="V750" s="47"/>
      <c r="W750" s="47"/>
      <c r="X750" s="47"/>
      <c r="Y750" s="47"/>
      <c r="Z750" s="47"/>
    </row>
    <row r="751" spans="1:26" ht="12.75" customHeight="1">
      <c r="A751" s="47"/>
      <c r="B751" s="47"/>
      <c r="C751" s="47"/>
      <c r="D751" s="47"/>
      <c r="E751" s="47"/>
      <c r="F751" s="47"/>
      <c r="G751" s="47"/>
      <c r="H751" s="84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47"/>
      <c r="U751" s="47"/>
      <c r="V751" s="47"/>
      <c r="W751" s="47"/>
      <c r="X751" s="47"/>
      <c r="Y751" s="47"/>
      <c r="Z751" s="47"/>
    </row>
    <row r="752" spans="1:26" ht="12.75" customHeight="1">
      <c r="A752" s="47"/>
      <c r="B752" s="47"/>
      <c r="C752" s="47"/>
      <c r="D752" s="47"/>
      <c r="E752" s="47"/>
      <c r="F752" s="47"/>
      <c r="G752" s="47"/>
      <c r="H752" s="84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47"/>
      <c r="U752" s="47"/>
      <c r="V752" s="47"/>
      <c r="W752" s="47"/>
      <c r="X752" s="47"/>
      <c r="Y752" s="47"/>
      <c r="Z752" s="47"/>
    </row>
    <row r="753" spans="1:26" ht="12.75" customHeight="1">
      <c r="A753" s="47"/>
      <c r="B753" s="47"/>
      <c r="C753" s="47"/>
      <c r="D753" s="47"/>
      <c r="E753" s="47"/>
      <c r="F753" s="47"/>
      <c r="G753" s="47"/>
      <c r="H753" s="84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47"/>
      <c r="U753" s="47"/>
      <c r="V753" s="47"/>
      <c r="W753" s="47"/>
      <c r="X753" s="47"/>
      <c r="Y753" s="47"/>
      <c r="Z753" s="47"/>
    </row>
    <row r="754" spans="1:26" ht="12.75" customHeight="1">
      <c r="A754" s="47"/>
      <c r="B754" s="47"/>
      <c r="C754" s="47"/>
      <c r="D754" s="47"/>
      <c r="E754" s="47"/>
      <c r="F754" s="47"/>
      <c r="G754" s="47"/>
      <c r="H754" s="84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47"/>
      <c r="U754" s="47"/>
      <c r="V754" s="47"/>
      <c r="W754" s="47"/>
      <c r="X754" s="47"/>
      <c r="Y754" s="47"/>
      <c r="Z754" s="47"/>
    </row>
    <row r="755" spans="1:26" ht="12.75" customHeight="1">
      <c r="A755" s="47"/>
      <c r="B755" s="47"/>
      <c r="C755" s="47"/>
      <c r="D755" s="47"/>
      <c r="E755" s="47"/>
      <c r="F755" s="47"/>
      <c r="G755" s="47"/>
      <c r="H755" s="84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47"/>
      <c r="U755" s="47"/>
      <c r="V755" s="47"/>
      <c r="W755" s="47"/>
      <c r="X755" s="47"/>
      <c r="Y755" s="47"/>
      <c r="Z755" s="47"/>
    </row>
    <row r="756" spans="1:26" ht="12.75" customHeight="1">
      <c r="A756" s="47"/>
      <c r="B756" s="47"/>
      <c r="C756" s="47"/>
      <c r="D756" s="47"/>
      <c r="E756" s="47"/>
      <c r="F756" s="47"/>
      <c r="G756" s="47"/>
      <c r="H756" s="84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47"/>
      <c r="U756" s="47"/>
      <c r="V756" s="47"/>
      <c r="W756" s="47"/>
      <c r="X756" s="47"/>
      <c r="Y756" s="47"/>
      <c r="Z756" s="47"/>
    </row>
    <row r="757" spans="1:26" ht="12.75" customHeight="1">
      <c r="A757" s="47"/>
      <c r="B757" s="47"/>
      <c r="C757" s="47"/>
      <c r="D757" s="47"/>
      <c r="E757" s="47"/>
      <c r="F757" s="47"/>
      <c r="G757" s="47"/>
      <c r="H757" s="84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47"/>
      <c r="U757" s="47"/>
      <c r="V757" s="47"/>
      <c r="W757" s="47"/>
      <c r="X757" s="47"/>
      <c r="Y757" s="47"/>
      <c r="Z757" s="47"/>
    </row>
    <row r="758" spans="1:26" ht="12.75" customHeight="1">
      <c r="A758" s="47"/>
      <c r="B758" s="47"/>
      <c r="C758" s="47"/>
      <c r="D758" s="47"/>
      <c r="E758" s="47"/>
      <c r="F758" s="47"/>
      <c r="G758" s="47"/>
      <c r="H758" s="84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47"/>
      <c r="U758" s="47"/>
      <c r="V758" s="47"/>
      <c r="W758" s="47"/>
      <c r="X758" s="47"/>
      <c r="Y758" s="47"/>
      <c r="Z758" s="47"/>
    </row>
    <row r="759" spans="1:26" ht="12.75" customHeight="1">
      <c r="A759" s="47"/>
      <c r="B759" s="47"/>
      <c r="C759" s="47"/>
      <c r="D759" s="47"/>
      <c r="E759" s="47"/>
      <c r="F759" s="47"/>
      <c r="G759" s="47"/>
      <c r="H759" s="84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47"/>
      <c r="U759" s="47"/>
      <c r="V759" s="47"/>
      <c r="W759" s="47"/>
      <c r="X759" s="47"/>
      <c r="Y759" s="47"/>
      <c r="Z759" s="47"/>
    </row>
    <row r="760" spans="1:26" ht="12.75" customHeight="1">
      <c r="A760" s="47"/>
      <c r="B760" s="47"/>
      <c r="C760" s="47"/>
      <c r="D760" s="47"/>
      <c r="E760" s="47"/>
      <c r="F760" s="47"/>
      <c r="G760" s="47"/>
      <c r="H760" s="84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47"/>
      <c r="U760" s="47"/>
      <c r="V760" s="47"/>
      <c r="W760" s="47"/>
      <c r="X760" s="47"/>
      <c r="Y760" s="47"/>
      <c r="Z760" s="47"/>
    </row>
    <row r="761" spans="1:26" ht="12.75" customHeight="1">
      <c r="A761" s="47"/>
      <c r="B761" s="47"/>
      <c r="C761" s="47"/>
      <c r="D761" s="47"/>
      <c r="E761" s="47"/>
      <c r="F761" s="47"/>
      <c r="G761" s="47"/>
      <c r="H761" s="84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47"/>
      <c r="U761" s="47"/>
      <c r="V761" s="47"/>
      <c r="W761" s="47"/>
      <c r="X761" s="47"/>
      <c r="Y761" s="47"/>
      <c r="Z761" s="47"/>
    </row>
    <row r="762" spans="1:26" ht="12.75" customHeight="1">
      <c r="A762" s="47"/>
      <c r="B762" s="47"/>
      <c r="C762" s="47"/>
      <c r="D762" s="47"/>
      <c r="E762" s="47"/>
      <c r="F762" s="47"/>
      <c r="G762" s="47"/>
      <c r="H762" s="84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47"/>
      <c r="U762" s="47"/>
      <c r="V762" s="47"/>
      <c r="W762" s="47"/>
      <c r="X762" s="47"/>
      <c r="Y762" s="47"/>
      <c r="Z762" s="47"/>
    </row>
    <row r="763" spans="1:26" ht="12.75" customHeight="1">
      <c r="A763" s="47"/>
      <c r="B763" s="47"/>
      <c r="C763" s="47"/>
      <c r="D763" s="47"/>
      <c r="E763" s="47"/>
      <c r="F763" s="47"/>
      <c r="G763" s="47"/>
      <c r="H763" s="84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47"/>
      <c r="U763" s="47"/>
      <c r="V763" s="47"/>
      <c r="W763" s="47"/>
      <c r="X763" s="47"/>
      <c r="Y763" s="47"/>
      <c r="Z763" s="47"/>
    </row>
    <row r="764" spans="1:26" ht="12.75" customHeight="1">
      <c r="A764" s="47"/>
      <c r="B764" s="47"/>
      <c r="C764" s="47"/>
      <c r="D764" s="47"/>
      <c r="E764" s="47"/>
      <c r="F764" s="47"/>
      <c r="G764" s="47"/>
      <c r="H764" s="84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47"/>
      <c r="U764" s="47"/>
      <c r="V764" s="47"/>
      <c r="W764" s="47"/>
      <c r="X764" s="47"/>
      <c r="Y764" s="47"/>
      <c r="Z764" s="47"/>
    </row>
    <row r="765" spans="1:26" ht="12.75" customHeight="1">
      <c r="A765" s="47"/>
      <c r="B765" s="47"/>
      <c r="C765" s="47"/>
      <c r="D765" s="47"/>
      <c r="E765" s="47"/>
      <c r="F765" s="47"/>
      <c r="G765" s="47"/>
      <c r="H765" s="84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47"/>
      <c r="U765" s="47"/>
      <c r="V765" s="47"/>
      <c r="W765" s="47"/>
      <c r="X765" s="47"/>
      <c r="Y765" s="47"/>
      <c r="Z765" s="47"/>
    </row>
    <row r="766" spans="1:26" ht="12.75" customHeight="1">
      <c r="A766" s="47"/>
      <c r="B766" s="47"/>
      <c r="C766" s="47"/>
      <c r="D766" s="47"/>
      <c r="E766" s="47"/>
      <c r="F766" s="47"/>
      <c r="G766" s="47"/>
      <c r="H766" s="84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47"/>
      <c r="U766" s="47"/>
      <c r="V766" s="47"/>
      <c r="W766" s="47"/>
      <c r="X766" s="47"/>
      <c r="Y766" s="47"/>
      <c r="Z766" s="47"/>
    </row>
    <row r="767" spans="1:26" ht="12.75" customHeight="1">
      <c r="A767" s="47"/>
      <c r="B767" s="47"/>
      <c r="C767" s="47"/>
      <c r="D767" s="47"/>
      <c r="E767" s="47"/>
      <c r="F767" s="47"/>
      <c r="G767" s="47"/>
      <c r="H767" s="84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47"/>
      <c r="U767" s="47"/>
      <c r="V767" s="47"/>
      <c r="W767" s="47"/>
      <c r="X767" s="47"/>
      <c r="Y767" s="47"/>
      <c r="Z767" s="47"/>
    </row>
    <row r="768" spans="1:26" ht="12.75" customHeight="1">
      <c r="A768" s="47"/>
      <c r="B768" s="47"/>
      <c r="C768" s="47"/>
      <c r="D768" s="47"/>
      <c r="E768" s="47"/>
      <c r="F768" s="47"/>
      <c r="G768" s="47"/>
      <c r="H768" s="84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47"/>
      <c r="U768" s="47"/>
      <c r="V768" s="47"/>
      <c r="W768" s="47"/>
      <c r="X768" s="47"/>
      <c r="Y768" s="47"/>
      <c r="Z768" s="47"/>
    </row>
    <row r="769" spans="1:26" ht="12.75" customHeight="1">
      <c r="A769" s="47"/>
      <c r="B769" s="47"/>
      <c r="C769" s="47"/>
      <c r="D769" s="47"/>
      <c r="E769" s="47"/>
      <c r="F769" s="47"/>
      <c r="G769" s="47"/>
      <c r="H769" s="84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47"/>
      <c r="U769" s="47"/>
      <c r="V769" s="47"/>
      <c r="W769" s="47"/>
      <c r="X769" s="47"/>
      <c r="Y769" s="47"/>
      <c r="Z769" s="47"/>
    </row>
    <row r="770" spans="1:26" ht="12.75" customHeight="1">
      <c r="A770" s="47"/>
      <c r="B770" s="47"/>
      <c r="C770" s="47"/>
      <c r="D770" s="47"/>
      <c r="E770" s="47"/>
      <c r="F770" s="47"/>
      <c r="G770" s="47"/>
      <c r="H770" s="84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47"/>
      <c r="U770" s="47"/>
      <c r="V770" s="47"/>
      <c r="W770" s="47"/>
      <c r="X770" s="47"/>
      <c r="Y770" s="47"/>
      <c r="Z770" s="47"/>
    </row>
    <row r="771" spans="1:26" ht="12.75" customHeight="1">
      <c r="A771" s="47"/>
      <c r="B771" s="47"/>
      <c r="C771" s="47"/>
      <c r="D771" s="47"/>
      <c r="E771" s="47"/>
      <c r="F771" s="47"/>
      <c r="G771" s="47"/>
      <c r="H771" s="84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47"/>
      <c r="U771" s="47"/>
      <c r="V771" s="47"/>
      <c r="W771" s="47"/>
      <c r="X771" s="47"/>
      <c r="Y771" s="47"/>
      <c r="Z771" s="47"/>
    </row>
    <row r="772" spans="1:26" ht="12.75" customHeight="1">
      <c r="A772" s="47"/>
      <c r="B772" s="47"/>
      <c r="C772" s="47"/>
      <c r="D772" s="47"/>
      <c r="E772" s="47"/>
      <c r="F772" s="47"/>
      <c r="G772" s="47"/>
      <c r="H772" s="84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47"/>
      <c r="U772" s="47"/>
      <c r="V772" s="47"/>
      <c r="W772" s="47"/>
      <c r="X772" s="47"/>
      <c r="Y772" s="47"/>
      <c r="Z772" s="47"/>
    </row>
    <row r="773" spans="1:26" ht="12.75" customHeight="1">
      <c r="A773" s="47"/>
      <c r="B773" s="47"/>
      <c r="C773" s="47"/>
      <c r="D773" s="47"/>
      <c r="E773" s="47"/>
      <c r="F773" s="47"/>
      <c r="G773" s="47"/>
      <c r="H773" s="84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47"/>
      <c r="U773" s="47"/>
      <c r="V773" s="47"/>
      <c r="W773" s="47"/>
      <c r="X773" s="47"/>
      <c r="Y773" s="47"/>
      <c r="Z773" s="47"/>
    </row>
    <row r="774" spans="1:26" ht="12.75" customHeight="1">
      <c r="A774" s="47"/>
      <c r="B774" s="47"/>
      <c r="C774" s="47"/>
      <c r="D774" s="47"/>
      <c r="E774" s="47"/>
      <c r="F774" s="47"/>
      <c r="G774" s="47"/>
      <c r="H774" s="84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47"/>
      <c r="U774" s="47"/>
      <c r="V774" s="47"/>
      <c r="W774" s="47"/>
      <c r="X774" s="47"/>
      <c r="Y774" s="47"/>
      <c r="Z774" s="47"/>
    </row>
    <row r="775" spans="1:26" ht="12.75" customHeight="1">
      <c r="A775" s="47"/>
      <c r="B775" s="47"/>
      <c r="C775" s="47"/>
      <c r="D775" s="47"/>
      <c r="E775" s="47"/>
      <c r="F775" s="47"/>
      <c r="G775" s="47"/>
      <c r="H775" s="84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47"/>
      <c r="U775" s="47"/>
      <c r="V775" s="47"/>
      <c r="W775" s="47"/>
      <c r="X775" s="47"/>
      <c r="Y775" s="47"/>
      <c r="Z775" s="47"/>
    </row>
    <row r="776" spans="1:26" ht="12.75" customHeight="1">
      <c r="A776" s="47"/>
      <c r="B776" s="47"/>
      <c r="C776" s="47"/>
      <c r="D776" s="47"/>
      <c r="E776" s="47"/>
      <c r="F776" s="47"/>
      <c r="G776" s="47"/>
      <c r="H776" s="84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47"/>
      <c r="U776" s="47"/>
      <c r="V776" s="47"/>
      <c r="W776" s="47"/>
      <c r="X776" s="47"/>
      <c r="Y776" s="47"/>
      <c r="Z776" s="47"/>
    </row>
    <row r="777" spans="1:26" ht="12.75" customHeight="1">
      <c r="A777" s="47"/>
      <c r="B777" s="47"/>
      <c r="C777" s="47"/>
      <c r="D777" s="47"/>
      <c r="E777" s="47"/>
      <c r="F777" s="47"/>
      <c r="G777" s="47"/>
      <c r="H777" s="84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47"/>
      <c r="U777" s="47"/>
      <c r="V777" s="47"/>
      <c r="W777" s="47"/>
      <c r="X777" s="47"/>
      <c r="Y777" s="47"/>
      <c r="Z777" s="47"/>
    </row>
    <row r="778" spans="1:26" ht="12.75" customHeight="1">
      <c r="A778" s="47"/>
      <c r="B778" s="47"/>
      <c r="C778" s="47"/>
      <c r="D778" s="47"/>
      <c r="E778" s="47"/>
      <c r="F778" s="47"/>
      <c r="G778" s="47"/>
      <c r="H778" s="84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47"/>
      <c r="U778" s="47"/>
      <c r="V778" s="47"/>
      <c r="W778" s="47"/>
      <c r="X778" s="47"/>
      <c r="Y778" s="47"/>
      <c r="Z778" s="47"/>
    </row>
    <row r="779" spans="1:26" ht="12.75" customHeight="1">
      <c r="A779" s="47"/>
      <c r="B779" s="47"/>
      <c r="C779" s="47"/>
      <c r="D779" s="47"/>
      <c r="E779" s="47"/>
      <c r="F779" s="47"/>
      <c r="G779" s="47"/>
      <c r="H779" s="84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47"/>
      <c r="U779" s="47"/>
      <c r="V779" s="47"/>
      <c r="W779" s="47"/>
      <c r="X779" s="47"/>
      <c r="Y779" s="47"/>
      <c r="Z779" s="47"/>
    </row>
    <row r="780" spans="1:26" ht="12.75" customHeight="1">
      <c r="A780" s="47"/>
      <c r="B780" s="47"/>
      <c r="C780" s="47"/>
      <c r="D780" s="47"/>
      <c r="E780" s="47"/>
      <c r="F780" s="47"/>
      <c r="G780" s="47"/>
      <c r="H780" s="84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47"/>
      <c r="U780" s="47"/>
      <c r="V780" s="47"/>
      <c r="W780" s="47"/>
      <c r="X780" s="47"/>
      <c r="Y780" s="47"/>
      <c r="Z780" s="47"/>
    </row>
    <row r="781" spans="1:26" ht="12.75" customHeight="1">
      <c r="A781" s="47"/>
      <c r="B781" s="47"/>
      <c r="C781" s="47"/>
      <c r="D781" s="47"/>
      <c r="E781" s="47"/>
      <c r="F781" s="47"/>
      <c r="G781" s="47"/>
      <c r="H781" s="84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47"/>
      <c r="U781" s="47"/>
      <c r="V781" s="47"/>
      <c r="W781" s="47"/>
      <c r="X781" s="47"/>
      <c r="Y781" s="47"/>
      <c r="Z781" s="47"/>
    </row>
    <row r="782" spans="1:26" ht="12.75" customHeight="1">
      <c r="A782" s="47"/>
      <c r="B782" s="47"/>
      <c r="C782" s="47"/>
      <c r="D782" s="47"/>
      <c r="E782" s="47"/>
      <c r="F782" s="47"/>
      <c r="G782" s="47"/>
      <c r="H782" s="84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47"/>
      <c r="U782" s="47"/>
      <c r="V782" s="47"/>
      <c r="W782" s="47"/>
      <c r="X782" s="47"/>
      <c r="Y782" s="47"/>
      <c r="Z782" s="47"/>
    </row>
    <row r="783" spans="1:26" ht="12.75" customHeight="1">
      <c r="A783" s="47"/>
      <c r="B783" s="47"/>
      <c r="C783" s="47"/>
      <c r="D783" s="47"/>
      <c r="E783" s="47"/>
      <c r="F783" s="47"/>
      <c r="G783" s="47"/>
      <c r="H783" s="84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47"/>
      <c r="U783" s="47"/>
      <c r="V783" s="47"/>
      <c r="W783" s="47"/>
      <c r="X783" s="47"/>
      <c r="Y783" s="47"/>
      <c r="Z783" s="47"/>
    </row>
    <row r="784" spans="1:26" ht="12.75" customHeight="1">
      <c r="A784" s="47"/>
      <c r="B784" s="47"/>
      <c r="C784" s="47"/>
      <c r="D784" s="47"/>
      <c r="E784" s="47"/>
      <c r="F784" s="47"/>
      <c r="G784" s="47"/>
      <c r="H784" s="84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47"/>
      <c r="U784" s="47"/>
      <c r="V784" s="47"/>
      <c r="W784" s="47"/>
      <c r="X784" s="47"/>
      <c r="Y784" s="47"/>
      <c r="Z784" s="47"/>
    </row>
    <row r="785" spans="1:26" ht="12.75" customHeight="1">
      <c r="A785" s="47"/>
      <c r="B785" s="47"/>
      <c r="C785" s="47"/>
      <c r="D785" s="47"/>
      <c r="E785" s="47"/>
      <c r="F785" s="47"/>
      <c r="G785" s="47"/>
      <c r="H785" s="84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47"/>
      <c r="U785" s="47"/>
      <c r="V785" s="47"/>
      <c r="W785" s="47"/>
      <c r="X785" s="47"/>
      <c r="Y785" s="47"/>
      <c r="Z785" s="47"/>
    </row>
    <row r="786" spans="1:26" ht="12.75" customHeight="1">
      <c r="A786" s="47"/>
      <c r="B786" s="47"/>
      <c r="C786" s="47"/>
      <c r="D786" s="47"/>
      <c r="E786" s="47"/>
      <c r="F786" s="47"/>
      <c r="G786" s="47"/>
      <c r="H786" s="84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47"/>
      <c r="U786" s="47"/>
      <c r="V786" s="47"/>
      <c r="W786" s="47"/>
      <c r="X786" s="47"/>
      <c r="Y786" s="47"/>
      <c r="Z786" s="47"/>
    </row>
    <row r="787" spans="1:26" ht="12.75" customHeight="1">
      <c r="A787" s="47"/>
      <c r="B787" s="47"/>
      <c r="C787" s="47"/>
      <c r="D787" s="47"/>
      <c r="E787" s="47"/>
      <c r="F787" s="47"/>
      <c r="G787" s="47"/>
      <c r="H787" s="84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47"/>
      <c r="U787" s="47"/>
      <c r="V787" s="47"/>
      <c r="W787" s="47"/>
      <c r="X787" s="47"/>
      <c r="Y787" s="47"/>
      <c r="Z787" s="47"/>
    </row>
    <row r="788" spans="1:26" ht="12.75" customHeight="1">
      <c r="A788" s="47"/>
      <c r="B788" s="47"/>
      <c r="C788" s="47"/>
      <c r="D788" s="47"/>
      <c r="E788" s="47"/>
      <c r="F788" s="47"/>
      <c r="G788" s="47"/>
      <c r="H788" s="84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47"/>
      <c r="U788" s="47"/>
      <c r="V788" s="47"/>
      <c r="W788" s="47"/>
      <c r="X788" s="47"/>
      <c r="Y788" s="47"/>
      <c r="Z788" s="47"/>
    </row>
    <row r="789" spans="1:26" ht="12.75" customHeight="1">
      <c r="A789" s="47"/>
      <c r="B789" s="47"/>
      <c r="C789" s="47"/>
      <c r="D789" s="47"/>
      <c r="E789" s="47"/>
      <c r="F789" s="47"/>
      <c r="G789" s="47"/>
      <c r="H789" s="84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47"/>
      <c r="U789" s="47"/>
      <c r="V789" s="47"/>
      <c r="W789" s="47"/>
      <c r="X789" s="47"/>
      <c r="Y789" s="47"/>
      <c r="Z789" s="47"/>
    </row>
    <row r="790" spans="1:26" ht="12.75" customHeight="1">
      <c r="A790" s="47"/>
      <c r="B790" s="47"/>
      <c r="C790" s="47"/>
      <c r="D790" s="47"/>
      <c r="E790" s="47"/>
      <c r="F790" s="47"/>
      <c r="G790" s="47"/>
      <c r="H790" s="84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47"/>
      <c r="U790" s="47"/>
      <c r="V790" s="47"/>
      <c r="W790" s="47"/>
      <c r="X790" s="47"/>
      <c r="Y790" s="47"/>
      <c r="Z790" s="47"/>
    </row>
    <row r="791" spans="1:26" ht="12.75" customHeight="1">
      <c r="A791" s="47"/>
      <c r="B791" s="47"/>
      <c r="C791" s="47"/>
      <c r="D791" s="47"/>
      <c r="E791" s="47"/>
      <c r="F791" s="47"/>
      <c r="G791" s="47"/>
      <c r="H791" s="84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47"/>
      <c r="U791" s="47"/>
      <c r="V791" s="47"/>
      <c r="W791" s="47"/>
      <c r="X791" s="47"/>
      <c r="Y791" s="47"/>
      <c r="Z791" s="47"/>
    </row>
    <row r="792" spans="1:26" ht="12.75" customHeight="1">
      <c r="A792" s="47"/>
      <c r="B792" s="47"/>
      <c r="C792" s="47"/>
      <c r="D792" s="47"/>
      <c r="E792" s="47"/>
      <c r="F792" s="47"/>
      <c r="G792" s="47"/>
      <c r="H792" s="84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47"/>
      <c r="U792" s="47"/>
      <c r="V792" s="47"/>
      <c r="W792" s="47"/>
      <c r="X792" s="47"/>
      <c r="Y792" s="47"/>
      <c r="Z792" s="47"/>
    </row>
    <row r="793" spans="1:26" ht="12.75" customHeight="1">
      <c r="A793" s="47"/>
      <c r="B793" s="47"/>
      <c r="C793" s="47"/>
      <c r="D793" s="47"/>
      <c r="E793" s="47"/>
      <c r="F793" s="47"/>
      <c r="G793" s="47"/>
      <c r="H793" s="84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47"/>
      <c r="U793" s="47"/>
      <c r="V793" s="47"/>
      <c r="W793" s="47"/>
      <c r="X793" s="47"/>
      <c r="Y793" s="47"/>
      <c r="Z793" s="47"/>
    </row>
    <row r="794" spans="1:26" ht="12.75" customHeight="1">
      <c r="A794" s="47"/>
      <c r="B794" s="47"/>
      <c r="C794" s="47"/>
      <c r="D794" s="47"/>
      <c r="E794" s="47"/>
      <c r="F794" s="47"/>
      <c r="G794" s="47"/>
      <c r="H794" s="84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47"/>
      <c r="U794" s="47"/>
      <c r="V794" s="47"/>
      <c r="W794" s="47"/>
      <c r="X794" s="47"/>
      <c r="Y794" s="47"/>
      <c r="Z794" s="47"/>
    </row>
    <row r="795" spans="1:26" ht="12.75" customHeight="1">
      <c r="A795" s="47"/>
      <c r="B795" s="47"/>
      <c r="C795" s="47"/>
      <c r="D795" s="47"/>
      <c r="E795" s="47"/>
      <c r="F795" s="47"/>
      <c r="G795" s="47"/>
      <c r="H795" s="84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47"/>
      <c r="U795" s="47"/>
      <c r="V795" s="47"/>
      <c r="W795" s="47"/>
      <c r="X795" s="47"/>
      <c r="Y795" s="47"/>
      <c r="Z795" s="47"/>
    </row>
    <row r="796" spans="1:26" ht="12.75" customHeight="1">
      <c r="A796" s="47"/>
      <c r="B796" s="47"/>
      <c r="C796" s="47"/>
      <c r="D796" s="47"/>
      <c r="E796" s="47"/>
      <c r="F796" s="47"/>
      <c r="G796" s="47"/>
      <c r="H796" s="84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47"/>
      <c r="U796" s="47"/>
      <c r="V796" s="47"/>
      <c r="W796" s="47"/>
      <c r="X796" s="47"/>
      <c r="Y796" s="47"/>
      <c r="Z796" s="47"/>
    </row>
    <row r="797" spans="1:26" ht="12.75" customHeight="1">
      <c r="A797" s="47"/>
      <c r="B797" s="47"/>
      <c r="C797" s="47"/>
      <c r="D797" s="47"/>
      <c r="E797" s="47"/>
      <c r="F797" s="47"/>
      <c r="G797" s="47"/>
      <c r="H797" s="84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47"/>
      <c r="U797" s="47"/>
      <c r="V797" s="47"/>
      <c r="W797" s="47"/>
      <c r="X797" s="47"/>
      <c r="Y797" s="47"/>
      <c r="Z797" s="47"/>
    </row>
    <row r="798" spans="1:26" ht="12.75" customHeight="1">
      <c r="A798" s="47"/>
      <c r="B798" s="47"/>
      <c r="C798" s="47"/>
      <c r="D798" s="47"/>
      <c r="E798" s="47"/>
      <c r="F798" s="47"/>
      <c r="G798" s="47"/>
      <c r="H798" s="84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47"/>
      <c r="U798" s="47"/>
      <c r="V798" s="47"/>
      <c r="W798" s="47"/>
      <c r="X798" s="47"/>
      <c r="Y798" s="47"/>
      <c r="Z798" s="47"/>
    </row>
    <row r="799" spans="1:26" ht="12.75" customHeight="1">
      <c r="A799" s="47"/>
      <c r="B799" s="47"/>
      <c r="C799" s="47"/>
      <c r="D799" s="47"/>
      <c r="E799" s="47"/>
      <c r="F799" s="47"/>
      <c r="G799" s="47"/>
      <c r="H799" s="84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47"/>
      <c r="U799" s="47"/>
      <c r="V799" s="47"/>
      <c r="W799" s="47"/>
      <c r="X799" s="47"/>
      <c r="Y799" s="47"/>
      <c r="Z799" s="47"/>
    </row>
    <row r="800" spans="1:26" ht="12.75" customHeight="1">
      <c r="A800" s="47"/>
      <c r="B800" s="47"/>
      <c r="C800" s="47"/>
      <c r="D800" s="47"/>
      <c r="E800" s="47"/>
      <c r="F800" s="47"/>
      <c r="G800" s="47"/>
      <c r="H800" s="84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47"/>
      <c r="U800" s="47"/>
      <c r="V800" s="47"/>
      <c r="W800" s="47"/>
      <c r="X800" s="47"/>
      <c r="Y800" s="47"/>
      <c r="Z800" s="47"/>
    </row>
    <row r="801" spans="1:26" ht="12.75" customHeight="1">
      <c r="A801" s="47"/>
      <c r="B801" s="47"/>
      <c r="C801" s="47"/>
      <c r="D801" s="47"/>
      <c r="E801" s="47"/>
      <c r="F801" s="47"/>
      <c r="G801" s="47"/>
      <c r="H801" s="84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47"/>
      <c r="U801" s="47"/>
      <c r="V801" s="47"/>
      <c r="W801" s="47"/>
      <c r="X801" s="47"/>
      <c r="Y801" s="47"/>
      <c r="Z801" s="47"/>
    </row>
    <row r="802" spans="1:26" ht="12.75" customHeight="1">
      <c r="A802" s="47"/>
      <c r="B802" s="47"/>
      <c r="C802" s="47"/>
      <c r="D802" s="47"/>
      <c r="E802" s="47"/>
      <c r="F802" s="47"/>
      <c r="G802" s="47"/>
      <c r="H802" s="84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47"/>
      <c r="U802" s="47"/>
      <c r="V802" s="47"/>
      <c r="W802" s="47"/>
      <c r="X802" s="47"/>
      <c r="Y802" s="47"/>
      <c r="Z802" s="47"/>
    </row>
    <row r="803" spans="1:26" ht="12.75" customHeight="1">
      <c r="A803" s="47"/>
      <c r="B803" s="47"/>
      <c r="C803" s="47"/>
      <c r="D803" s="47"/>
      <c r="E803" s="47"/>
      <c r="F803" s="47"/>
      <c r="G803" s="47"/>
      <c r="H803" s="84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47"/>
      <c r="U803" s="47"/>
      <c r="V803" s="47"/>
      <c r="W803" s="47"/>
      <c r="X803" s="47"/>
      <c r="Y803" s="47"/>
      <c r="Z803" s="47"/>
    </row>
    <row r="804" spans="1:26" ht="12.75" customHeight="1">
      <c r="A804" s="47"/>
      <c r="B804" s="47"/>
      <c r="C804" s="47"/>
      <c r="D804" s="47"/>
      <c r="E804" s="47"/>
      <c r="F804" s="47"/>
      <c r="G804" s="47"/>
      <c r="H804" s="84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47"/>
      <c r="U804" s="47"/>
      <c r="V804" s="47"/>
      <c r="W804" s="47"/>
      <c r="X804" s="47"/>
      <c r="Y804" s="47"/>
      <c r="Z804" s="47"/>
    </row>
    <row r="805" spans="1:26" ht="12.75" customHeight="1">
      <c r="A805" s="47"/>
      <c r="B805" s="47"/>
      <c r="C805" s="47"/>
      <c r="D805" s="47"/>
      <c r="E805" s="47"/>
      <c r="F805" s="47"/>
      <c r="G805" s="47"/>
      <c r="H805" s="84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47"/>
      <c r="U805" s="47"/>
      <c r="V805" s="47"/>
      <c r="W805" s="47"/>
      <c r="X805" s="47"/>
      <c r="Y805" s="47"/>
      <c r="Z805" s="47"/>
    </row>
    <row r="806" spans="1:26" ht="12.75" customHeight="1">
      <c r="A806" s="47"/>
      <c r="B806" s="47"/>
      <c r="C806" s="47"/>
      <c r="D806" s="47"/>
      <c r="E806" s="47"/>
      <c r="F806" s="47"/>
      <c r="G806" s="47"/>
      <c r="H806" s="84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47"/>
      <c r="U806" s="47"/>
      <c r="V806" s="47"/>
      <c r="W806" s="47"/>
      <c r="X806" s="47"/>
      <c r="Y806" s="47"/>
      <c r="Z806" s="47"/>
    </row>
    <row r="807" spans="1:26" ht="12.75" customHeight="1">
      <c r="A807" s="47"/>
      <c r="B807" s="47"/>
      <c r="C807" s="47"/>
      <c r="D807" s="47"/>
      <c r="E807" s="47"/>
      <c r="F807" s="47"/>
      <c r="G807" s="47"/>
      <c r="H807" s="84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47"/>
      <c r="U807" s="47"/>
      <c r="V807" s="47"/>
      <c r="W807" s="47"/>
      <c r="X807" s="47"/>
      <c r="Y807" s="47"/>
      <c r="Z807" s="47"/>
    </row>
    <row r="808" spans="1:26" ht="12.75" customHeight="1">
      <c r="A808" s="47"/>
      <c r="B808" s="47"/>
      <c r="C808" s="47"/>
      <c r="D808" s="47"/>
      <c r="E808" s="47"/>
      <c r="F808" s="47"/>
      <c r="G808" s="47"/>
      <c r="H808" s="84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47"/>
      <c r="U808" s="47"/>
      <c r="V808" s="47"/>
      <c r="W808" s="47"/>
      <c r="X808" s="47"/>
      <c r="Y808" s="47"/>
      <c r="Z808" s="47"/>
    </row>
    <row r="809" spans="1:26" ht="12.75" customHeight="1">
      <c r="A809" s="47"/>
      <c r="B809" s="47"/>
      <c r="C809" s="47"/>
      <c r="D809" s="47"/>
      <c r="E809" s="47"/>
      <c r="F809" s="47"/>
      <c r="G809" s="47"/>
      <c r="H809" s="84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47"/>
      <c r="U809" s="47"/>
      <c r="V809" s="47"/>
      <c r="W809" s="47"/>
      <c r="X809" s="47"/>
      <c r="Y809" s="47"/>
      <c r="Z809" s="47"/>
    </row>
    <row r="810" spans="1:26" ht="12.75" customHeight="1">
      <c r="A810" s="47"/>
      <c r="B810" s="47"/>
      <c r="C810" s="47"/>
      <c r="D810" s="47"/>
      <c r="E810" s="47"/>
      <c r="F810" s="47"/>
      <c r="G810" s="47"/>
      <c r="H810" s="84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47"/>
      <c r="U810" s="47"/>
      <c r="V810" s="47"/>
      <c r="W810" s="47"/>
      <c r="X810" s="47"/>
      <c r="Y810" s="47"/>
      <c r="Z810" s="47"/>
    </row>
    <row r="811" spans="1:26" ht="12.75" customHeight="1">
      <c r="A811" s="47"/>
      <c r="B811" s="47"/>
      <c r="C811" s="47"/>
      <c r="D811" s="47"/>
      <c r="E811" s="47"/>
      <c r="F811" s="47"/>
      <c r="G811" s="47"/>
      <c r="H811" s="84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47"/>
      <c r="U811" s="47"/>
      <c r="V811" s="47"/>
      <c r="W811" s="47"/>
      <c r="X811" s="47"/>
      <c r="Y811" s="47"/>
      <c r="Z811" s="47"/>
    </row>
    <row r="812" spans="1:26" ht="12.75" customHeight="1">
      <c r="A812" s="47"/>
      <c r="B812" s="47"/>
      <c r="C812" s="47"/>
      <c r="D812" s="47"/>
      <c r="E812" s="47"/>
      <c r="F812" s="47"/>
      <c r="G812" s="47"/>
      <c r="H812" s="84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47"/>
      <c r="U812" s="47"/>
      <c r="V812" s="47"/>
      <c r="W812" s="47"/>
      <c r="X812" s="47"/>
      <c r="Y812" s="47"/>
      <c r="Z812" s="47"/>
    </row>
    <row r="813" spans="1:26" ht="12.75" customHeight="1">
      <c r="A813" s="47"/>
      <c r="B813" s="47"/>
      <c r="C813" s="47"/>
      <c r="D813" s="47"/>
      <c r="E813" s="47"/>
      <c r="F813" s="47"/>
      <c r="G813" s="47"/>
      <c r="H813" s="84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47"/>
      <c r="U813" s="47"/>
      <c r="V813" s="47"/>
      <c r="W813" s="47"/>
      <c r="X813" s="47"/>
      <c r="Y813" s="47"/>
      <c r="Z813" s="47"/>
    </row>
    <row r="814" spans="1:26" ht="12.75" customHeight="1">
      <c r="A814" s="47"/>
      <c r="B814" s="47"/>
      <c r="C814" s="47"/>
      <c r="D814" s="47"/>
      <c r="E814" s="47"/>
      <c r="F814" s="47"/>
      <c r="G814" s="47"/>
      <c r="H814" s="84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47"/>
      <c r="U814" s="47"/>
      <c r="V814" s="47"/>
      <c r="W814" s="47"/>
      <c r="X814" s="47"/>
      <c r="Y814" s="47"/>
      <c r="Z814" s="47"/>
    </row>
    <row r="815" spans="1:26" ht="12.75" customHeight="1">
      <c r="A815" s="47"/>
      <c r="B815" s="47"/>
      <c r="C815" s="47"/>
      <c r="D815" s="47"/>
      <c r="E815" s="47"/>
      <c r="F815" s="47"/>
      <c r="G815" s="47"/>
      <c r="H815" s="84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47"/>
      <c r="U815" s="47"/>
      <c r="V815" s="47"/>
      <c r="W815" s="47"/>
      <c r="X815" s="47"/>
      <c r="Y815" s="47"/>
      <c r="Z815" s="47"/>
    </row>
    <row r="816" spans="1:26" ht="12.75" customHeight="1">
      <c r="A816" s="47"/>
      <c r="B816" s="47"/>
      <c r="C816" s="47"/>
      <c r="D816" s="47"/>
      <c r="E816" s="47"/>
      <c r="F816" s="47"/>
      <c r="G816" s="47"/>
      <c r="H816" s="84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47"/>
      <c r="U816" s="47"/>
      <c r="V816" s="47"/>
      <c r="W816" s="47"/>
      <c r="X816" s="47"/>
      <c r="Y816" s="47"/>
      <c r="Z816" s="47"/>
    </row>
    <row r="817" spans="1:26" ht="12.75" customHeight="1">
      <c r="A817" s="47"/>
      <c r="B817" s="47"/>
      <c r="C817" s="47"/>
      <c r="D817" s="47"/>
      <c r="E817" s="47"/>
      <c r="F817" s="47"/>
      <c r="G817" s="47"/>
      <c r="H817" s="84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47"/>
      <c r="U817" s="47"/>
      <c r="V817" s="47"/>
      <c r="W817" s="47"/>
      <c r="X817" s="47"/>
      <c r="Y817" s="47"/>
      <c r="Z817" s="47"/>
    </row>
    <row r="818" spans="1:26" ht="12.75" customHeight="1">
      <c r="A818" s="47"/>
      <c r="B818" s="47"/>
      <c r="C818" s="47"/>
      <c r="D818" s="47"/>
      <c r="E818" s="47"/>
      <c r="F818" s="47"/>
      <c r="G818" s="47"/>
      <c r="H818" s="84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47"/>
      <c r="U818" s="47"/>
      <c r="V818" s="47"/>
      <c r="W818" s="47"/>
      <c r="X818" s="47"/>
      <c r="Y818" s="47"/>
      <c r="Z818" s="47"/>
    </row>
    <row r="819" spans="1:26" ht="12.75" customHeight="1">
      <c r="A819" s="47"/>
      <c r="B819" s="47"/>
      <c r="C819" s="47"/>
      <c r="D819" s="47"/>
      <c r="E819" s="47"/>
      <c r="F819" s="47"/>
      <c r="G819" s="47"/>
      <c r="H819" s="84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47"/>
      <c r="U819" s="47"/>
      <c r="V819" s="47"/>
      <c r="W819" s="47"/>
      <c r="X819" s="47"/>
      <c r="Y819" s="47"/>
      <c r="Z819" s="47"/>
    </row>
    <row r="820" spans="1:26" ht="12.75" customHeight="1">
      <c r="A820" s="47"/>
      <c r="B820" s="47"/>
      <c r="C820" s="47"/>
      <c r="D820" s="47"/>
      <c r="E820" s="47"/>
      <c r="F820" s="47"/>
      <c r="G820" s="47"/>
      <c r="H820" s="84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47"/>
      <c r="U820" s="47"/>
      <c r="V820" s="47"/>
      <c r="W820" s="47"/>
      <c r="X820" s="47"/>
      <c r="Y820" s="47"/>
      <c r="Z820" s="47"/>
    </row>
    <row r="821" spans="1:26" ht="12.75" customHeight="1">
      <c r="A821" s="47"/>
      <c r="B821" s="47"/>
      <c r="C821" s="47"/>
      <c r="D821" s="47"/>
      <c r="E821" s="47"/>
      <c r="F821" s="47"/>
      <c r="G821" s="47"/>
      <c r="H821" s="84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47"/>
      <c r="U821" s="47"/>
      <c r="V821" s="47"/>
      <c r="W821" s="47"/>
      <c r="X821" s="47"/>
      <c r="Y821" s="47"/>
      <c r="Z821" s="47"/>
    </row>
    <row r="822" spans="1:26" ht="12.75" customHeight="1">
      <c r="A822" s="47"/>
      <c r="B822" s="47"/>
      <c r="C822" s="47"/>
      <c r="D822" s="47"/>
      <c r="E822" s="47"/>
      <c r="F822" s="47"/>
      <c r="G822" s="47"/>
      <c r="H822" s="84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47"/>
      <c r="U822" s="47"/>
      <c r="V822" s="47"/>
      <c r="W822" s="47"/>
      <c r="X822" s="47"/>
      <c r="Y822" s="47"/>
      <c r="Z822" s="47"/>
    </row>
    <row r="823" spans="1:26" ht="12.75" customHeight="1">
      <c r="A823" s="47"/>
      <c r="B823" s="47"/>
      <c r="C823" s="47"/>
      <c r="D823" s="47"/>
      <c r="E823" s="47"/>
      <c r="F823" s="47"/>
      <c r="G823" s="47"/>
      <c r="H823" s="84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47"/>
      <c r="U823" s="47"/>
      <c r="V823" s="47"/>
      <c r="W823" s="47"/>
      <c r="X823" s="47"/>
      <c r="Y823" s="47"/>
      <c r="Z823" s="47"/>
    </row>
    <row r="824" spans="1:26" ht="12.75" customHeight="1">
      <c r="A824" s="47"/>
      <c r="B824" s="47"/>
      <c r="C824" s="47"/>
      <c r="D824" s="47"/>
      <c r="E824" s="47"/>
      <c r="F824" s="47"/>
      <c r="G824" s="47"/>
      <c r="H824" s="84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47"/>
      <c r="U824" s="47"/>
      <c r="V824" s="47"/>
      <c r="W824" s="47"/>
      <c r="X824" s="47"/>
      <c r="Y824" s="47"/>
      <c r="Z824" s="47"/>
    </row>
    <row r="825" spans="1:26" ht="12.75" customHeight="1">
      <c r="A825" s="47"/>
      <c r="B825" s="47"/>
      <c r="C825" s="47"/>
      <c r="D825" s="47"/>
      <c r="E825" s="47"/>
      <c r="F825" s="47"/>
      <c r="G825" s="47"/>
      <c r="H825" s="84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47"/>
      <c r="U825" s="47"/>
      <c r="V825" s="47"/>
      <c r="W825" s="47"/>
      <c r="X825" s="47"/>
      <c r="Y825" s="47"/>
      <c r="Z825" s="47"/>
    </row>
    <row r="826" spans="1:26" ht="12.75" customHeight="1">
      <c r="A826" s="47"/>
      <c r="B826" s="47"/>
      <c r="C826" s="47"/>
      <c r="D826" s="47"/>
      <c r="E826" s="47"/>
      <c r="F826" s="47"/>
      <c r="G826" s="47"/>
      <c r="H826" s="84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47"/>
      <c r="U826" s="47"/>
      <c r="V826" s="47"/>
      <c r="W826" s="47"/>
      <c r="X826" s="47"/>
      <c r="Y826" s="47"/>
      <c r="Z826" s="47"/>
    </row>
    <row r="827" spans="1:26" ht="12.75" customHeight="1">
      <c r="A827" s="47"/>
      <c r="B827" s="47"/>
      <c r="C827" s="47"/>
      <c r="D827" s="47"/>
      <c r="E827" s="47"/>
      <c r="F827" s="47"/>
      <c r="G827" s="47"/>
      <c r="H827" s="84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47"/>
      <c r="U827" s="47"/>
      <c r="V827" s="47"/>
      <c r="W827" s="47"/>
      <c r="X827" s="47"/>
      <c r="Y827" s="47"/>
      <c r="Z827" s="47"/>
    </row>
    <row r="828" spans="1:26" ht="12.75" customHeight="1">
      <c r="A828" s="47"/>
      <c r="B828" s="47"/>
      <c r="C828" s="47"/>
      <c r="D828" s="47"/>
      <c r="E828" s="47"/>
      <c r="F828" s="47"/>
      <c r="G828" s="47"/>
      <c r="H828" s="84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47"/>
      <c r="U828" s="47"/>
      <c r="V828" s="47"/>
      <c r="W828" s="47"/>
      <c r="X828" s="47"/>
      <c r="Y828" s="47"/>
      <c r="Z828" s="47"/>
    </row>
    <row r="829" spans="1:26" ht="12.75" customHeight="1">
      <c r="A829" s="47"/>
      <c r="B829" s="47"/>
      <c r="C829" s="47"/>
      <c r="D829" s="47"/>
      <c r="E829" s="47"/>
      <c r="F829" s="47"/>
      <c r="G829" s="47"/>
      <c r="H829" s="84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47"/>
      <c r="U829" s="47"/>
      <c r="V829" s="47"/>
      <c r="W829" s="47"/>
      <c r="X829" s="47"/>
      <c r="Y829" s="47"/>
      <c r="Z829" s="47"/>
    </row>
    <row r="830" spans="1:26" ht="12.75" customHeight="1">
      <c r="A830" s="47"/>
      <c r="B830" s="47"/>
      <c r="C830" s="47"/>
      <c r="D830" s="47"/>
      <c r="E830" s="47"/>
      <c r="F830" s="47"/>
      <c r="G830" s="47"/>
      <c r="H830" s="84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47"/>
      <c r="U830" s="47"/>
      <c r="V830" s="47"/>
      <c r="W830" s="47"/>
      <c r="X830" s="47"/>
      <c r="Y830" s="47"/>
      <c r="Z830" s="47"/>
    </row>
    <row r="831" spans="1:26" ht="12.75" customHeight="1">
      <c r="A831" s="47"/>
      <c r="B831" s="47"/>
      <c r="C831" s="47"/>
      <c r="D831" s="47"/>
      <c r="E831" s="47"/>
      <c r="F831" s="47"/>
      <c r="G831" s="47"/>
      <c r="H831" s="84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47"/>
      <c r="U831" s="47"/>
      <c r="V831" s="47"/>
      <c r="W831" s="47"/>
      <c r="X831" s="47"/>
      <c r="Y831" s="47"/>
      <c r="Z831" s="47"/>
    </row>
    <row r="832" spans="1:26" ht="12.75" customHeight="1">
      <c r="A832" s="47"/>
      <c r="B832" s="47"/>
      <c r="C832" s="47"/>
      <c r="D832" s="47"/>
      <c r="E832" s="47"/>
      <c r="F832" s="47"/>
      <c r="G832" s="47"/>
      <c r="H832" s="84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47"/>
      <c r="U832" s="47"/>
      <c r="V832" s="47"/>
      <c r="W832" s="47"/>
      <c r="X832" s="47"/>
      <c r="Y832" s="47"/>
      <c r="Z832" s="47"/>
    </row>
    <row r="833" spans="1:26" ht="12.75" customHeight="1">
      <c r="A833" s="47"/>
      <c r="B833" s="47"/>
      <c r="C833" s="47"/>
      <c r="D833" s="47"/>
      <c r="E833" s="47"/>
      <c r="F833" s="47"/>
      <c r="G833" s="47"/>
      <c r="H833" s="84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47"/>
      <c r="U833" s="47"/>
      <c r="V833" s="47"/>
      <c r="W833" s="47"/>
      <c r="X833" s="47"/>
      <c r="Y833" s="47"/>
      <c r="Z833" s="47"/>
    </row>
    <row r="834" spans="1:26" ht="12.75" customHeight="1">
      <c r="A834" s="47"/>
      <c r="B834" s="47"/>
      <c r="C834" s="47"/>
      <c r="D834" s="47"/>
      <c r="E834" s="47"/>
      <c r="F834" s="47"/>
      <c r="G834" s="47"/>
      <c r="H834" s="84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47"/>
      <c r="U834" s="47"/>
      <c r="V834" s="47"/>
      <c r="W834" s="47"/>
      <c r="X834" s="47"/>
      <c r="Y834" s="47"/>
      <c r="Z834" s="47"/>
    </row>
    <row r="835" spans="1:26" ht="12.75" customHeight="1">
      <c r="A835" s="47"/>
      <c r="B835" s="47"/>
      <c r="C835" s="47"/>
      <c r="D835" s="47"/>
      <c r="E835" s="47"/>
      <c r="F835" s="47"/>
      <c r="G835" s="47"/>
      <c r="H835" s="84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47"/>
      <c r="U835" s="47"/>
      <c r="V835" s="47"/>
      <c r="W835" s="47"/>
      <c r="X835" s="47"/>
      <c r="Y835" s="47"/>
      <c r="Z835" s="47"/>
    </row>
    <row r="836" spans="1:26" ht="12.75" customHeight="1">
      <c r="A836" s="47"/>
      <c r="B836" s="47"/>
      <c r="C836" s="47"/>
      <c r="D836" s="47"/>
      <c r="E836" s="47"/>
      <c r="F836" s="47"/>
      <c r="G836" s="47"/>
      <c r="H836" s="84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47"/>
      <c r="U836" s="47"/>
      <c r="V836" s="47"/>
      <c r="W836" s="47"/>
      <c r="X836" s="47"/>
      <c r="Y836" s="47"/>
      <c r="Z836" s="47"/>
    </row>
    <row r="837" spans="1:26" ht="12.75" customHeight="1">
      <c r="A837" s="47"/>
      <c r="B837" s="47"/>
      <c r="C837" s="47"/>
      <c r="D837" s="47"/>
      <c r="E837" s="47"/>
      <c r="F837" s="47"/>
      <c r="G837" s="47"/>
      <c r="H837" s="84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47"/>
      <c r="U837" s="47"/>
      <c r="V837" s="47"/>
      <c r="W837" s="47"/>
      <c r="X837" s="47"/>
      <c r="Y837" s="47"/>
      <c r="Z837" s="47"/>
    </row>
    <row r="838" spans="1:26" ht="12.75" customHeight="1">
      <c r="A838" s="47"/>
      <c r="B838" s="47"/>
      <c r="C838" s="47"/>
      <c r="D838" s="47"/>
      <c r="E838" s="47"/>
      <c r="F838" s="47"/>
      <c r="G838" s="47"/>
      <c r="H838" s="84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47"/>
      <c r="U838" s="47"/>
      <c r="V838" s="47"/>
      <c r="W838" s="47"/>
      <c r="X838" s="47"/>
      <c r="Y838" s="47"/>
      <c r="Z838" s="47"/>
    </row>
    <row r="839" spans="1:26" ht="12.75" customHeight="1">
      <c r="A839" s="47"/>
      <c r="B839" s="47"/>
      <c r="C839" s="47"/>
      <c r="D839" s="47"/>
      <c r="E839" s="47"/>
      <c r="F839" s="47"/>
      <c r="G839" s="47"/>
      <c r="H839" s="84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47"/>
      <c r="U839" s="47"/>
      <c r="V839" s="47"/>
      <c r="W839" s="47"/>
      <c r="X839" s="47"/>
      <c r="Y839" s="47"/>
      <c r="Z839" s="47"/>
    </row>
    <row r="840" spans="1:26" ht="12.75" customHeight="1">
      <c r="A840" s="47"/>
      <c r="B840" s="47"/>
      <c r="C840" s="47"/>
      <c r="D840" s="47"/>
      <c r="E840" s="47"/>
      <c r="F840" s="47"/>
      <c r="G840" s="47"/>
      <c r="H840" s="84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47"/>
      <c r="U840" s="47"/>
      <c r="V840" s="47"/>
      <c r="W840" s="47"/>
      <c r="X840" s="47"/>
      <c r="Y840" s="47"/>
      <c r="Z840" s="47"/>
    </row>
    <row r="841" spans="1:26" ht="12.75" customHeight="1">
      <c r="A841" s="47"/>
      <c r="B841" s="47"/>
      <c r="C841" s="47"/>
      <c r="D841" s="47"/>
      <c r="E841" s="47"/>
      <c r="F841" s="47"/>
      <c r="G841" s="47"/>
      <c r="H841" s="84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47"/>
      <c r="U841" s="47"/>
      <c r="V841" s="47"/>
      <c r="W841" s="47"/>
      <c r="X841" s="47"/>
      <c r="Y841" s="47"/>
      <c r="Z841" s="47"/>
    </row>
    <row r="842" spans="1:26" ht="12.75" customHeight="1">
      <c r="A842" s="47"/>
      <c r="B842" s="47"/>
      <c r="C842" s="47"/>
      <c r="D842" s="47"/>
      <c r="E842" s="47"/>
      <c r="F842" s="47"/>
      <c r="G842" s="47"/>
      <c r="H842" s="84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47"/>
      <c r="U842" s="47"/>
      <c r="V842" s="47"/>
      <c r="W842" s="47"/>
      <c r="X842" s="47"/>
      <c r="Y842" s="47"/>
      <c r="Z842" s="47"/>
    </row>
    <row r="843" spans="1:26" ht="12.75" customHeight="1">
      <c r="A843" s="47"/>
      <c r="B843" s="47"/>
      <c r="C843" s="47"/>
      <c r="D843" s="47"/>
      <c r="E843" s="47"/>
      <c r="F843" s="47"/>
      <c r="G843" s="47"/>
      <c r="H843" s="84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47"/>
      <c r="U843" s="47"/>
      <c r="V843" s="47"/>
      <c r="W843" s="47"/>
      <c r="X843" s="47"/>
      <c r="Y843" s="47"/>
      <c r="Z843" s="47"/>
    </row>
    <row r="844" spans="1:26" ht="12.75" customHeight="1">
      <c r="A844" s="47"/>
      <c r="B844" s="47"/>
      <c r="C844" s="47"/>
      <c r="D844" s="47"/>
      <c r="E844" s="47"/>
      <c r="F844" s="47"/>
      <c r="G844" s="47"/>
      <c r="H844" s="84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47"/>
      <c r="U844" s="47"/>
      <c r="V844" s="47"/>
      <c r="W844" s="47"/>
      <c r="X844" s="47"/>
      <c r="Y844" s="47"/>
      <c r="Z844" s="47"/>
    </row>
    <row r="845" spans="1:26" ht="12.75" customHeight="1">
      <c r="A845" s="47"/>
      <c r="B845" s="47"/>
      <c r="C845" s="47"/>
      <c r="D845" s="47"/>
      <c r="E845" s="47"/>
      <c r="F845" s="47"/>
      <c r="G845" s="47"/>
      <c r="H845" s="84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47"/>
      <c r="U845" s="47"/>
      <c r="V845" s="47"/>
      <c r="W845" s="47"/>
      <c r="X845" s="47"/>
      <c r="Y845" s="47"/>
      <c r="Z845" s="47"/>
    </row>
    <row r="846" spans="1:26" ht="12.75" customHeight="1">
      <c r="A846" s="47"/>
      <c r="B846" s="47"/>
      <c r="C846" s="47"/>
      <c r="D846" s="47"/>
      <c r="E846" s="47"/>
      <c r="F846" s="47"/>
      <c r="G846" s="47"/>
      <c r="H846" s="84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47"/>
      <c r="U846" s="47"/>
      <c r="V846" s="47"/>
      <c r="W846" s="47"/>
      <c r="X846" s="47"/>
      <c r="Y846" s="47"/>
      <c r="Z846" s="47"/>
    </row>
    <row r="847" spans="1:26" ht="12.75" customHeight="1">
      <c r="A847" s="47"/>
      <c r="B847" s="47"/>
      <c r="C847" s="47"/>
      <c r="D847" s="47"/>
      <c r="E847" s="47"/>
      <c r="F847" s="47"/>
      <c r="G847" s="47"/>
      <c r="H847" s="84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47"/>
      <c r="U847" s="47"/>
      <c r="V847" s="47"/>
      <c r="W847" s="47"/>
      <c r="X847" s="47"/>
      <c r="Y847" s="47"/>
      <c r="Z847" s="47"/>
    </row>
    <row r="848" spans="1:26" ht="12.75" customHeight="1">
      <c r="A848" s="47"/>
      <c r="B848" s="47"/>
      <c r="C848" s="47"/>
      <c r="D848" s="47"/>
      <c r="E848" s="47"/>
      <c r="F848" s="47"/>
      <c r="G848" s="47"/>
      <c r="H848" s="84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47"/>
      <c r="U848" s="47"/>
      <c r="V848" s="47"/>
      <c r="W848" s="47"/>
      <c r="X848" s="47"/>
      <c r="Y848" s="47"/>
      <c r="Z848" s="47"/>
    </row>
    <row r="849" spans="1:26" ht="12.75" customHeight="1">
      <c r="A849" s="47"/>
      <c r="B849" s="47"/>
      <c r="C849" s="47"/>
      <c r="D849" s="47"/>
      <c r="E849" s="47"/>
      <c r="F849" s="47"/>
      <c r="G849" s="47"/>
      <c r="H849" s="84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47"/>
      <c r="U849" s="47"/>
      <c r="V849" s="47"/>
      <c r="W849" s="47"/>
      <c r="X849" s="47"/>
      <c r="Y849" s="47"/>
      <c r="Z849" s="47"/>
    </row>
    <row r="850" spans="1:26" ht="12.75" customHeight="1">
      <c r="A850" s="47"/>
      <c r="B850" s="47"/>
      <c r="C850" s="47"/>
      <c r="D850" s="47"/>
      <c r="E850" s="47"/>
      <c r="F850" s="47"/>
      <c r="G850" s="47"/>
      <c r="H850" s="84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47"/>
      <c r="U850" s="47"/>
      <c r="V850" s="47"/>
      <c r="W850" s="47"/>
      <c r="X850" s="47"/>
      <c r="Y850" s="47"/>
      <c r="Z850" s="47"/>
    </row>
    <row r="851" spans="1:26" ht="12.75" customHeight="1">
      <c r="A851" s="47"/>
      <c r="B851" s="47"/>
      <c r="C851" s="47"/>
      <c r="D851" s="47"/>
      <c r="E851" s="47"/>
      <c r="F851" s="47"/>
      <c r="G851" s="47"/>
      <c r="H851" s="84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47"/>
      <c r="U851" s="47"/>
      <c r="V851" s="47"/>
      <c r="W851" s="47"/>
      <c r="X851" s="47"/>
      <c r="Y851" s="47"/>
      <c r="Z851" s="47"/>
    </row>
    <row r="852" spans="1:26" ht="12.75" customHeight="1">
      <c r="A852" s="47"/>
      <c r="B852" s="47"/>
      <c r="C852" s="47"/>
      <c r="D852" s="47"/>
      <c r="E852" s="47"/>
      <c r="F852" s="47"/>
      <c r="G852" s="47"/>
      <c r="H852" s="84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47"/>
      <c r="U852" s="47"/>
      <c r="V852" s="47"/>
      <c r="W852" s="47"/>
      <c r="X852" s="47"/>
      <c r="Y852" s="47"/>
      <c r="Z852" s="47"/>
    </row>
    <row r="853" spans="1:26" ht="12.75" customHeight="1">
      <c r="A853" s="47"/>
      <c r="B853" s="47"/>
      <c r="C853" s="47"/>
      <c r="D853" s="47"/>
      <c r="E853" s="47"/>
      <c r="F853" s="47"/>
      <c r="G853" s="47"/>
      <c r="H853" s="84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47"/>
      <c r="U853" s="47"/>
      <c r="V853" s="47"/>
      <c r="W853" s="47"/>
      <c r="X853" s="47"/>
      <c r="Y853" s="47"/>
      <c r="Z853" s="47"/>
    </row>
    <row r="854" spans="1:26" ht="12.75" customHeight="1">
      <c r="A854" s="47"/>
      <c r="B854" s="47"/>
      <c r="C854" s="47"/>
      <c r="D854" s="47"/>
      <c r="E854" s="47"/>
      <c r="F854" s="47"/>
      <c r="G854" s="47"/>
      <c r="H854" s="84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47"/>
      <c r="U854" s="47"/>
      <c r="V854" s="47"/>
      <c r="W854" s="47"/>
      <c r="X854" s="47"/>
      <c r="Y854" s="47"/>
      <c r="Z854" s="47"/>
    </row>
    <row r="855" spans="1:26" ht="12.75" customHeight="1">
      <c r="A855" s="47"/>
      <c r="B855" s="47"/>
      <c r="C855" s="47"/>
      <c r="D855" s="47"/>
      <c r="E855" s="47"/>
      <c r="F855" s="47"/>
      <c r="G855" s="47"/>
      <c r="H855" s="84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47"/>
      <c r="U855" s="47"/>
      <c r="V855" s="47"/>
      <c r="W855" s="47"/>
      <c r="X855" s="47"/>
      <c r="Y855" s="47"/>
      <c r="Z855" s="47"/>
    </row>
    <row r="856" spans="1:26" ht="12.75" customHeight="1">
      <c r="A856" s="47"/>
      <c r="B856" s="47"/>
      <c r="C856" s="47"/>
      <c r="D856" s="47"/>
      <c r="E856" s="47"/>
      <c r="F856" s="47"/>
      <c r="G856" s="47"/>
      <c r="H856" s="84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47"/>
      <c r="U856" s="47"/>
      <c r="V856" s="47"/>
      <c r="W856" s="47"/>
      <c r="X856" s="47"/>
      <c r="Y856" s="47"/>
      <c r="Z856" s="47"/>
    </row>
    <row r="857" spans="1:26" ht="12.75" customHeight="1">
      <c r="A857" s="47"/>
      <c r="B857" s="47"/>
      <c r="C857" s="47"/>
      <c r="D857" s="47"/>
      <c r="E857" s="47"/>
      <c r="F857" s="47"/>
      <c r="G857" s="47"/>
      <c r="H857" s="84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47"/>
      <c r="U857" s="47"/>
      <c r="V857" s="47"/>
      <c r="W857" s="47"/>
      <c r="X857" s="47"/>
      <c r="Y857" s="47"/>
      <c r="Z857" s="47"/>
    </row>
    <row r="858" spans="1:26" ht="12.75" customHeight="1">
      <c r="A858" s="47"/>
      <c r="B858" s="47"/>
      <c r="C858" s="47"/>
      <c r="D858" s="47"/>
      <c r="E858" s="47"/>
      <c r="F858" s="47"/>
      <c r="G858" s="47"/>
      <c r="H858" s="84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47"/>
      <c r="U858" s="47"/>
      <c r="V858" s="47"/>
      <c r="W858" s="47"/>
      <c r="X858" s="47"/>
      <c r="Y858" s="47"/>
      <c r="Z858" s="47"/>
    </row>
    <row r="859" spans="1:26" ht="12.75" customHeight="1">
      <c r="A859" s="47"/>
      <c r="B859" s="47"/>
      <c r="C859" s="47"/>
      <c r="D859" s="47"/>
      <c r="E859" s="47"/>
      <c r="F859" s="47"/>
      <c r="G859" s="47"/>
      <c r="H859" s="84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47"/>
      <c r="U859" s="47"/>
      <c r="V859" s="47"/>
      <c r="W859" s="47"/>
      <c r="X859" s="47"/>
      <c r="Y859" s="47"/>
      <c r="Z859" s="47"/>
    </row>
    <row r="860" spans="1:26" ht="12.75" customHeight="1">
      <c r="A860" s="47"/>
      <c r="B860" s="47"/>
      <c r="C860" s="47"/>
      <c r="D860" s="47"/>
      <c r="E860" s="47"/>
      <c r="F860" s="47"/>
      <c r="G860" s="47"/>
      <c r="H860" s="84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47"/>
      <c r="U860" s="47"/>
      <c r="V860" s="47"/>
      <c r="W860" s="47"/>
      <c r="X860" s="47"/>
      <c r="Y860" s="47"/>
      <c r="Z860" s="47"/>
    </row>
    <row r="861" spans="1:26" ht="12.75" customHeight="1">
      <c r="A861" s="47"/>
      <c r="B861" s="47"/>
      <c r="C861" s="47"/>
      <c r="D861" s="47"/>
      <c r="E861" s="47"/>
      <c r="F861" s="47"/>
      <c r="G861" s="47"/>
      <c r="H861" s="84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47"/>
      <c r="U861" s="47"/>
      <c r="V861" s="47"/>
      <c r="W861" s="47"/>
      <c r="X861" s="47"/>
      <c r="Y861" s="47"/>
      <c r="Z861" s="47"/>
    </row>
    <row r="862" spans="1:26" ht="12.75" customHeight="1">
      <c r="A862" s="47"/>
      <c r="B862" s="47"/>
      <c r="C862" s="47"/>
      <c r="D862" s="47"/>
      <c r="E862" s="47"/>
      <c r="F862" s="47"/>
      <c r="G862" s="47"/>
      <c r="H862" s="84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47"/>
      <c r="U862" s="47"/>
      <c r="V862" s="47"/>
      <c r="W862" s="47"/>
      <c r="X862" s="47"/>
      <c r="Y862" s="47"/>
      <c r="Z862" s="47"/>
    </row>
    <row r="863" spans="1:26" ht="12.75" customHeight="1">
      <c r="A863" s="47"/>
      <c r="B863" s="47"/>
      <c r="C863" s="47"/>
      <c r="D863" s="47"/>
      <c r="E863" s="47"/>
      <c r="F863" s="47"/>
      <c r="G863" s="47"/>
      <c r="H863" s="84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47"/>
      <c r="U863" s="47"/>
      <c r="V863" s="47"/>
      <c r="W863" s="47"/>
      <c r="X863" s="47"/>
      <c r="Y863" s="47"/>
      <c r="Z863" s="47"/>
    </row>
    <row r="864" spans="1:26" ht="12.75" customHeight="1">
      <c r="A864" s="47"/>
      <c r="B864" s="47"/>
      <c r="C864" s="47"/>
      <c r="D864" s="47"/>
      <c r="E864" s="47"/>
      <c r="F864" s="47"/>
      <c r="G864" s="47"/>
      <c r="H864" s="84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47"/>
      <c r="U864" s="47"/>
      <c r="V864" s="47"/>
      <c r="W864" s="47"/>
      <c r="X864" s="47"/>
      <c r="Y864" s="47"/>
      <c r="Z864" s="47"/>
    </row>
    <row r="865" spans="1:26" ht="12.75" customHeight="1">
      <c r="A865" s="47"/>
      <c r="B865" s="47"/>
      <c r="C865" s="47"/>
      <c r="D865" s="47"/>
      <c r="E865" s="47"/>
      <c r="F865" s="47"/>
      <c r="G865" s="47"/>
      <c r="H865" s="84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47"/>
      <c r="U865" s="47"/>
      <c r="V865" s="47"/>
      <c r="W865" s="47"/>
      <c r="X865" s="47"/>
      <c r="Y865" s="47"/>
      <c r="Z865" s="47"/>
    </row>
    <row r="866" spans="1:26" ht="12.75" customHeight="1">
      <c r="A866" s="47"/>
      <c r="B866" s="47"/>
      <c r="C866" s="47"/>
      <c r="D866" s="47"/>
      <c r="E866" s="47"/>
      <c r="F866" s="47"/>
      <c r="G866" s="47"/>
      <c r="H866" s="84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47"/>
      <c r="U866" s="47"/>
      <c r="V866" s="47"/>
      <c r="W866" s="47"/>
      <c r="X866" s="47"/>
      <c r="Y866" s="47"/>
      <c r="Z866" s="47"/>
    </row>
    <row r="867" spans="1:26" ht="12.75" customHeight="1">
      <c r="A867" s="47"/>
      <c r="B867" s="47"/>
      <c r="C867" s="47"/>
      <c r="D867" s="47"/>
      <c r="E867" s="47"/>
      <c r="F867" s="47"/>
      <c r="G867" s="47"/>
      <c r="H867" s="84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47"/>
      <c r="U867" s="47"/>
      <c r="V867" s="47"/>
      <c r="W867" s="47"/>
      <c r="X867" s="47"/>
      <c r="Y867" s="47"/>
      <c r="Z867" s="47"/>
    </row>
    <row r="868" spans="1:26" ht="12.75" customHeight="1">
      <c r="A868" s="47"/>
      <c r="B868" s="47"/>
      <c r="C868" s="47"/>
      <c r="D868" s="47"/>
      <c r="E868" s="47"/>
      <c r="F868" s="47"/>
      <c r="G868" s="47"/>
      <c r="H868" s="84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47"/>
      <c r="U868" s="47"/>
      <c r="V868" s="47"/>
      <c r="W868" s="47"/>
      <c r="X868" s="47"/>
      <c r="Y868" s="47"/>
      <c r="Z868" s="47"/>
    </row>
    <row r="869" spans="1:26" ht="12.75" customHeight="1">
      <c r="A869" s="47"/>
      <c r="B869" s="47"/>
      <c r="C869" s="47"/>
      <c r="D869" s="47"/>
      <c r="E869" s="47"/>
      <c r="F869" s="47"/>
      <c r="G869" s="47"/>
      <c r="H869" s="84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47"/>
      <c r="U869" s="47"/>
      <c r="V869" s="47"/>
      <c r="W869" s="47"/>
      <c r="X869" s="47"/>
      <c r="Y869" s="47"/>
      <c r="Z869" s="47"/>
    </row>
    <row r="870" spans="1:26" ht="12.75" customHeight="1">
      <c r="A870" s="47"/>
      <c r="B870" s="47"/>
      <c r="C870" s="47"/>
      <c r="D870" s="47"/>
      <c r="E870" s="47"/>
      <c r="F870" s="47"/>
      <c r="G870" s="47"/>
      <c r="H870" s="84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47"/>
      <c r="U870" s="47"/>
      <c r="V870" s="47"/>
      <c r="W870" s="47"/>
      <c r="X870" s="47"/>
      <c r="Y870" s="47"/>
      <c r="Z870" s="47"/>
    </row>
    <row r="871" spans="1:26" ht="12.75" customHeight="1">
      <c r="A871" s="47"/>
      <c r="B871" s="47"/>
      <c r="C871" s="47"/>
      <c r="D871" s="47"/>
      <c r="E871" s="47"/>
      <c r="F871" s="47"/>
      <c r="G871" s="47"/>
      <c r="H871" s="84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47"/>
      <c r="U871" s="47"/>
      <c r="V871" s="47"/>
      <c r="W871" s="47"/>
      <c r="X871" s="47"/>
      <c r="Y871" s="47"/>
      <c r="Z871" s="47"/>
    </row>
    <row r="872" spans="1:26" ht="12.75" customHeight="1">
      <c r="A872" s="47"/>
      <c r="B872" s="47"/>
      <c r="C872" s="47"/>
      <c r="D872" s="47"/>
      <c r="E872" s="47"/>
      <c r="F872" s="47"/>
      <c r="G872" s="47"/>
      <c r="H872" s="84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47"/>
      <c r="U872" s="47"/>
      <c r="V872" s="47"/>
      <c r="W872" s="47"/>
      <c r="X872" s="47"/>
      <c r="Y872" s="47"/>
      <c r="Z872" s="47"/>
    </row>
    <row r="873" spans="1:26" ht="12.75" customHeight="1">
      <c r="A873" s="47"/>
      <c r="B873" s="47"/>
      <c r="C873" s="47"/>
      <c r="D873" s="47"/>
      <c r="E873" s="47"/>
      <c r="F873" s="47"/>
      <c r="G873" s="47"/>
      <c r="H873" s="84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47"/>
      <c r="U873" s="47"/>
      <c r="V873" s="47"/>
      <c r="W873" s="47"/>
      <c r="X873" s="47"/>
      <c r="Y873" s="47"/>
      <c r="Z873" s="47"/>
    </row>
    <row r="874" spans="1:26" ht="12.75" customHeight="1">
      <c r="A874" s="47"/>
      <c r="B874" s="47"/>
      <c r="C874" s="47"/>
      <c r="D874" s="47"/>
      <c r="E874" s="47"/>
      <c r="F874" s="47"/>
      <c r="G874" s="47"/>
      <c r="H874" s="84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47"/>
      <c r="U874" s="47"/>
      <c r="V874" s="47"/>
      <c r="W874" s="47"/>
      <c r="X874" s="47"/>
      <c r="Y874" s="47"/>
      <c r="Z874" s="47"/>
    </row>
    <row r="875" spans="1:26" ht="12.75" customHeight="1">
      <c r="A875" s="47"/>
      <c r="B875" s="47"/>
      <c r="C875" s="47"/>
      <c r="D875" s="47"/>
      <c r="E875" s="47"/>
      <c r="F875" s="47"/>
      <c r="G875" s="47"/>
      <c r="H875" s="84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47"/>
      <c r="U875" s="47"/>
      <c r="V875" s="47"/>
      <c r="W875" s="47"/>
      <c r="X875" s="47"/>
      <c r="Y875" s="47"/>
      <c r="Z875" s="47"/>
    </row>
    <row r="876" spans="1:26" ht="12.75" customHeight="1">
      <c r="A876" s="47"/>
      <c r="B876" s="47"/>
      <c r="C876" s="47"/>
      <c r="D876" s="47"/>
      <c r="E876" s="47"/>
      <c r="F876" s="47"/>
      <c r="G876" s="47"/>
      <c r="H876" s="84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47"/>
      <c r="U876" s="47"/>
      <c r="V876" s="47"/>
      <c r="W876" s="47"/>
      <c r="X876" s="47"/>
      <c r="Y876" s="47"/>
      <c r="Z876" s="47"/>
    </row>
    <row r="877" spans="1:26" ht="12.75" customHeight="1">
      <c r="A877" s="47"/>
      <c r="B877" s="47"/>
      <c r="C877" s="47"/>
      <c r="D877" s="47"/>
      <c r="E877" s="47"/>
      <c r="F877" s="47"/>
      <c r="G877" s="47"/>
      <c r="H877" s="84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47"/>
      <c r="U877" s="47"/>
      <c r="V877" s="47"/>
      <c r="W877" s="47"/>
      <c r="X877" s="47"/>
      <c r="Y877" s="47"/>
      <c r="Z877" s="47"/>
    </row>
    <row r="878" spans="1:26" ht="12.75" customHeight="1">
      <c r="A878" s="47"/>
      <c r="B878" s="47"/>
      <c r="C878" s="47"/>
      <c r="D878" s="47"/>
      <c r="E878" s="47"/>
      <c r="F878" s="47"/>
      <c r="G878" s="47"/>
      <c r="H878" s="84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47"/>
      <c r="U878" s="47"/>
      <c r="V878" s="47"/>
      <c r="W878" s="47"/>
      <c r="X878" s="47"/>
      <c r="Y878" s="47"/>
      <c r="Z878" s="47"/>
    </row>
    <row r="879" spans="1:26" ht="12.75" customHeight="1">
      <c r="A879" s="47"/>
      <c r="B879" s="47"/>
      <c r="C879" s="47"/>
      <c r="D879" s="47"/>
      <c r="E879" s="47"/>
      <c r="F879" s="47"/>
      <c r="G879" s="47"/>
      <c r="H879" s="84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47"/>
      <c r="U879" s="47"/>
      <c r="V879" s="47"/>
      <c r="W879" s="47"/>
      <c r="X879" s="47"/>
      <c r="Y879" s="47"/>
      <c r="Z879" s="47"/>
    </row>
    <row r="880" spans="1:26" ht="12.75" customHeight="1">
      <c r="A880" s="47"/>
      <c r="B880" s="47"/>
      <c r="C880" s="47"/>
      <c r="D880" s="47"/>
      <c r="E880" s="47"/>
      <c r="F880" s="47"/>
      <c r="G880" s="47"/>
      <c r="H880" s="84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47"/>
      <c r="U880" s="47"/>
      <c r="V880" s="47"/>
      <c r="W880" s="47"/>
      <c r="X880" s="47"/>
      <c r="Y880" s="47"/>
      <c r="Z880" s="47"/>
    </row>
    <row r="881" spans="1:26" ht="12.75" customHeight="1">
      <c r="A881" s="47"/>
      <c r="B881" s="47"/>
      <c r="C881" s="47"/>
      <c r="D881" s="47"/>
      <c r="E881" s="47"/>
      <c r="F881" s="47"/>
      <c r="G881" s="47"/>
      <c r="H881" s="84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47"/>
      <c r="U881" s="47"/>
      <c r="V881" s="47"/>
      <c r="W881" s="47"/>
      <c r="X881" s="47"/>
      <c r="Y881" s="47"/>
      <c r="Z881" s="47"/>
    </row>
    <row r="882" spans="1:26" ht="12.75" customHeight="1">
      <c r="A882" s="47"/>
      <c r="B882" s="47"/>
      <c r="C882" s="47"/>
      <c r="D882" s="47"/>
      <c r="E882" s="47"/>
      <c r="F882" s="47"/>
      <c r="G882" s="47"/>
      <c r="H882" s="84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47"/>
      <c r="U882" s="47"/>
      <c r="V882" s="47"/>
      <c r="W882" s="47"/>
      <c r="X882" s="47"/>
      <c r="Y882" s="47"/>
      <c r="Z882" s="47"/>
    </row>
    <row r="883" spans="1:26" ht="12.75" customHeight="1">
      <c r="A883" s="47"/>
      <c r="B883" s="47"/>
      <c r="C883" s="47"/>
      <c r="D883" s="47"/>
      <c r="E883" s="47"/>
      <c r="F883" s="47"/>
      <c r="G883" s="47"/>
      <c r="H883" s="84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47"/>
      <c r="U883" s="47"/>
      <c r="V883" s="47"/>
      <c r="W883" s="47"/>
      <c r="X883" s="47"/>
      <c r="Y883" s="47"/>
      <c r="Z883" s="47"/>
    </row>
    <row r="884" spans="1:26" ht="12.75" customHeight="1">
      <c r="A884" s="47"/>
      <c r="B884" s="47"/>
      <c r="C884" s="47"/>
      <c r="D884" s="47"/>
      <c r="E884" s="47"/>
      <c r="F884" s="47"/>
      <c r="G884" s="47"/>
      <c r="H884" s="84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47"/>
      <c r="U884" s="47"/>
      <c r="V884" s="47"/>
      <c r="W884" s="47"/>
      <c r="X884" s="47"/>
      <c r="Y884" s="47"/>
      <c r="Z884" s="47"/>
    </row>
    <row r="885" spans="1:26" ht="12.75" customHeight="1">
      <c r="A885" s="47"/>
      <c r="B885" s="47"/>
      <c r="C885" s="47"/>
      <c r="D885" s="47"/>
      <c r="E885" s="47"/>
      <c r="F885" s="47"/>
      <c r="G885" s="47"/>
      <c r="H885" s="84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47"/>
      <c r="U885" s="47"/>
      <c r="V885" s="47"/>
      <c r="W885" s="47"/>
      <c r="X885" s="47"/>
      <c r="Y885" s="47"/>
      <c r="Z885" s="47"/>
    </row>
    <row r="886" spans="1:26" ht="12.75" customHeight="1">
      <c r="A886" s="47"/>
      <c r="B886" s="47"/>
      <c r="C886" s="47"/>
      <c r="D886" s="47"/>
      <c r="E886" s="47"/>
      <c r="F886" s="47"/>
      <c r="G886" s="47"/>
      <c r="H886" s="84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47"/>
      <c r="U886" s="47"/>
      <c r="V886" s="47"/>
      <c r="W886" s="47"/>
      <c r="X886" s="47"/>
      <c r="Y886" s="47"/>
      <c r="Z886" s="47"/>
    </row>
    <row r="887" spans="1:26" ht="12.75" customHeight="1">
      <c r="A887" s="47"/>
      <c r="B887" s="47"/>
      <c r="C887" s="47"/>
      <c r="D887" s="47"/>
      <c r="E887" s="47"/>
      <c r="F887" s="47"/>
      <c r="G887" s="47"/>
      <c r="H887" s="84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47"/>
      <c r="U887" s="47"/>
      <c r="V887" s="47"/>
      <c r="W887" s="47"/>
      <c r="X887" s="47"/>
      <c r="Y887" s="47"/>
      <c r="Z887" s="47"/>
    </row>
    <row r="888" spans="1:26" ht="12.75" customHeight="1">
      <c r="A888" s="47"/>
      <c r="B888" s="47"/>
      <c r="C888" s="47"/>
      <c r="D888" s="47"/>
      <c r="E888" s="47"/>
      <c r="F888" s="47"/>
      <c r="G888" s="47"/>
      <c r="H888" s="84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47"/>
      <c r="U888" s="47"/>
      <c r="V888" s="47"/>
      <c r="W888" s="47"/>
      <c r="X888" s="47"/>
      <c r="Y888" s="47"/>
      <c r="Z888" s="47"/>
    </row>
    <row r="889" spans="1:26" ht="12.75" customHeight="1">
      <c r="A889" s="47"/>
      <c r="B889" s="47"/>
      <c r="C889" s="47"/>
      <c r="D889" s="47"/>
      <c r="E889" s="47"/>
      <c r="F889" s="47"/>
      <c r="G889" s="47"/>
      <c r="H889" s="84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47"/>
      <c r="U889" s="47"/>
      <c r="V889" s="47"/>
      <c r="W889" s="47"/>
      <c r="X889" s="47"/>
      <c r="Y889" s="47"/>
      <c r="Z889" s="47"/>
    </row>
    <row r="890" spans="1:26" ht="12.75" customHeight="1">
      <c r="A890" s="47"/>
      <c r="B890" s="47"/>
      <c r="C890" s="47"/>
      <c r="D890" s="47"/>
      <c r="E890" s="47"/>
      <c r="F890" s="47"/>
      <c r="G890" s="47"/>
      <c r="H890" s="84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47"/>
      <c r="U890" s="47"/>
      <c r="V890" s="47"/>
      <c r="W890" s="47"/>
      <c r="X890" s="47"/>
      <c r="Y890" s="47"/>
      <c r="Z890" s="47"/>
    </row>
    <row r="891" spans="1:26" ht="12.75" customHeight="1">
      <c r="A891" s="47"/>
      <c r="B891" s="47"/>
      <c r="C891" s="47"/>
      <c r="D891" s="47"/>
      <c r="E891" s="47"/>
      <c r="F891" s="47"/>
      <c r="G891" s="47"/>
      <c r="H891" s="84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47"/>
      <c r="U891" s="47"/>
      <c r="V891" s="47"/>
      <c r="W891" s="47"/>
      <c r="X891" s="47"/>
      <c r="Y891" s="47"/>
      <c r="Z891" s="47"/>
    </row>
    <row r="892" spans="1:26" ht="12.75" customHeight="1">
      <c r="A892" s="47"/>
      <c r="B892" s="47"/>
      <c r="C892" s="47"/>
      <c r="D892" s="47"/>
      <c r="E892" s="47"/>
      <c r="F892" s="47"/>
      <c r="G892" s="47"/>
      <c r="H892" s="84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47"/>
      <c r="U892" s="47"/>
      <c r="V892" s="47"/>
      <c r="W892" s="47"/>
      <c r="X892" s="47"/>
      <c r="Y892" s="47"/>
      <c r="Z892" s="47"/>
    </row>
    <row r="893" spans="1:26" ht="12.75" customHeight="1">
      <c r="A893" s="47"/>
      <c r="B893" s="47"/>
      <c r="C893" s="47"/>
      <c r="D893" s="47"/>
      <c r="E893" s="47"/>
      <c r="F893" s="47"/>
      <c r="G893" s="47"/>
      <c r="H893" s="84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47"/>
      <c r="U893" s="47"/>
      <c r="V893" s="47"/>
      <c r="W893" s="47"/>
      <c r="X893" s="47"/>
      <c r="Y893" s="47"/>
      <c r="Z893" s="47"/>
    </row>
    <row r="894" spans="1:26" ht="12.75" customHeight="1">
      <c r="A894" s="47"/>
      <c r="B894" s="47"/>
      <c r="C894" s="47"/>
      <c r="D894" s="47"/>
      <c r="E894" s="47"/>
      <c r="F894" s="47"/>
      <c r="G894" s="47"/>
      <c r="H894" s="84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47"/>
      <c r="U894" s="47"/>
      <c r="V894" s="47"/>
      <c r="W894" s="47"/>
      <c r="X894" s="47"/>
      <c r="Y894" s="47"/>
      <c r="Z894" s="47"/>
    </row>
    <row r="895" spans="1:26" ht="12.75" customHeight="1">
      <c r="A895" s="47"/>
      <c r="B895" s="47"/>
      <c r="C895" s="47"/>
      <c r="D895" s="47"/>
      <c r="E895" s="47"/>
      <c r="F895" s="47"/>
      <c r="G895" s="47"/>
      <c r="H895" s="84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47"/>
      <c r="U895" s="47"/>
      <c r="V895" s="47"/>
      <c r="W895" s="47"/>
      <c r="X895" s="47"/>
      <c r="Y895" s="47"/>
      <c r="Z895" s="47"/>
    </row>
    <row r="896" spans="1:26" ht="12.75" customHeight="1">
      <c r="A896" s="47"/>
      <c r="B896" s="47"/>
      <c r="C896" s="47"/>
      <c r="D896" s="47"/>
      <c r="E896" s="47"/>
      <c r="F896" s="47"/>
      <c r="G896" s="47"/>
      <c r="H896" s="84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47"/>
      <c r="U896" s="47"/>
      <c r="V896" s="47"/>
      <c r="W896" s="47"/>
      <c r="X896" s="47"/>
      <c r="Y896" s="47"/>
      <c r="Z896" s="47"/>
    </row>
    <row r="897" spans="1:26" ht="12.75" customHeight="1">
      <c r="A897" s="47"/>
      <c r="B897" s="47"/>
      <c r="C897" s="47"/>
      <c r="D897" s="47"/>
      <c r="E897" s="47"/>
      <c r="F897" s="47"/>
      <c r="G897" s="47"/>
      <c r="H897" s="84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47"/>
      <c r="U897" s="47"/>
      <c r="V897" s="47"/>
      <c r="W897" s="47"/>
      <c r="X897" s="47"/>
      <c r="Y897" s="47"/>
      <c r="Z897" s="47"/>
    </row>
    <row r="898" spans="1:26" ht="12.75" customHeight="1">
      <c r="A898" s="47"/>
      <c r="B898" s="47"/>
      <c r="C898" s="47"/>
      <c r="D898" s="47"/>
      <c r="E898" s="47"/>
      <c r="F898" s="47"/>
      <c r="G898" s="47"/>
      <c r="H898" s="84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47"/>
      <c r="U898" s="47"/>
      <c r="V898" s="47"/>
      <c r="W898" s="47"/>
      <c r="X898" s="47"/>
      <c r="Y898" s="47"/>
      <c r="Z898" s="47"/>
    </row>
    <row r="899" spans="1:26" ht="12.75" customHeight="1">
      <c r="A899" s="47"/>
      <c r="B899" s="47"/>
      <c r="C899" s="47"/>
      <c r="D899" s="47"/>
      <c r="E899" s="47"/>
      <c r="F899" s="47"/>
      <c r="G899" s="47"/>
      <c r="H899" s="84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47"/>
      <c r="U899" s="47"/>
      <c r="V899" s="47"/>
      <c r="W899" s="47"/>
      <c r="X899" s="47"/>
      <c r="Y899" s="47"/>
      <c r="Z899" s="47"/>
    </row>
    <row r="900" spans="1:26" ht="12.75" customHeight="1">
      <c r="A900" s="47"/>
      <c r="B900" s="47"/>
      <c r="C900" s="47"/>
      <c r="D900" s="47"/>
      <c r="E900" s="47"/>
      <c r="F900" s="47"/>
      <c r="G900" s="47"/>
      <c r="H900" s="84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47"/>
      <c r="U900" s="47"/>
      <c r="V900" s="47"/>
      <c r="W900" s="47"/>
      <c r="X900" s="47"/>
      <c r="Y900" s="47"/>
      <c r="Z900" s="47"/>
    </row>
    <row r="901" spans="1:26" ht="12.75" customHeight="1">
      <c r="A901" s="47"/>
      <c r="B901" s="47"/>
      <c r="C901" s="47"/>
      <c r="D901" s="47"/>
      <c r="E901" s="47"/>
      <c r="F901" s="47"/>
      <c r="G901" s="47"/>
      <c r="H901" s="84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47"/>
      <c r="U901" s="47"/>
      <c r="V901" s="47"/>
      <c r="W901" s="47"/>
      <c r="X901" s="47"/>
      <c r="Y901" s="47"/>
      <c r="Z901" s="47"/>
    </row>
    <row r="902" spans="1:26" ht="12.75" customHeight="1">
      <c r="A902" s="47"/>
      <c r="B902" s="47"/>
      <c r="C902" s="47"/>
      <c r="D902" s="47"/>
      <c r="E902" s="47"/>
      <c r="F902" s="47"/>
      <c r="G902" s="47"/>
      <c r="H902" s="84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47"/>
      <c r="U902" s="47"/>
      <c r="V902" s="47"/>
      <c r="W902" s="47"/>
      <c r="X902" s="47"/>
      <c r="Y902" s="47"/>
      <c r="Z902" s="47"/>
    </row>
    <row r="903" spans="1:26" ht="12.75" customHeight="1">
      <c r="A903" s="47"/>
      <c r="B903" s="47"/>
      <c r="C903" s="47"/>
      <c r="D903" s="47"/>
      <c r="E903" s="47"/>
      <c r="F903" s="47"/>
      <c r="G903" s="47"/>
      <c r="H903" s="84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47"/>
      <c r="U903" s="47"/>
      <c r="V903" s="47"/>
      <c r="W903" s="47"/>
      <c r="X903" s="47"/>
      <c r="Y903" s="47"/>
      <c r="Z903" s="47"/>
    </row>
    <row r="904" spans="1:26" ht="12.75" customHeight="1">
      <c r="A904" s="47"/>
      <c r="B904" s="47"/>
      <c r="C904" s="47"/>
      <c r="D904" s="47"/>
      <c r="E904" s="47"/>
      <c r="F904" s="47"/>
      <c r="G904" s="47"/>
      <c r="H904" s="84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47"/>
      <c r="U904" s="47"/>
      <c r="V904" s="47"/>
      <c r="W904" s="47"/>
      <c r="X904" s="47"/>
      <c r="Y904" s="47"/>
      <c r="Z904" s="47"/>
    </row>
    <row r="905" spans="1:26" ht="12.75" customHeight="1">
      <c r="A905" s="47"/>
      <c r="B905" s="47"/>
      <c r="C905" s="47"/>
      <c r="D905" s="47"/>
      <c r="E905" s="47"/>
      <c r="F905" s="47"/>
      <c r="G905" s="47"/>
      <c r="H905" s="84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47"/>
      <c r="U905" s="47"/>
      <c r="V905" s="47"/>
      <c r="W905" s="47"/>
      <c r="X905" s="47"/>
      <c r="Y905" s="47"/>
      <c r="Z905" s="47"/>
    </row>
    <row r="906" spans="1:26" ht="12.75" customHeight="1">
      <c r="A906" s="47"/>
      <c r="B906" s="47"/>
      <c r="C906" s="47"/>
      <c r="D906" s="47"/>
      <c r="E906" s="47"/>
      <c r="F906" s="47"/>
      <c r="G906" s="47"/>
      <c r="H906" s="84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47"/>
      <c r="U906" s="47"/>
      <c r="V906" s="47"/>
      <c r="W906" s="47"/>
      <c r="X906" s="47"/>
      <c r="Y906" s="47"/>
      <c r="Z906" s="47"/>
    </row>
    <row r="907" spans="1:26" ht="12.75" customHeight="1">
      <c r="A907" s="47"/>
      <c r="B907" s="47"/>
      <c r="C907" s="47"/>
      <c r="D907" s="47"/>
      <c r="E907" s="47"/>
      <c r="F907" s="47"/>
      <c r="G907" s="47"/>
      <c r="H907" s="84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47"/>
      <c r="U907" s="47"/>
      <c r="V907" s="47"/>
      <c r="W907" s="47"/>
      <c r="X907" s="47"/>
      <c r="Y907" s="47"/>
      <c r="Z907" s="47"/>
    </row>
    <row r="908" spans="1:26" ht="12.75" customHeight="1">
      <c r="A908" s="47"/>
      <c r="B908" s="47"/>
      <c r="C908" s="47"/>
      <c r="D908" s="47"/>
      <c r="E908" s="47"/>
      <c r="F908" s="47"/>
      <c r="G908" s="47"/>
      <c r="H908" s="84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47"/>
      <c r="U908" s="47"/>
      <c r="V908" s="47"/>
      <c r="W908" s="47"/>
      <c r="X908" s="47"/>
      <c r="Y908" s="47"/>
      <c r="Z908" s="47"/>
    </row>
    <row r="909" spans="1:26" ht="12.75" customHeight="1">
      <c r="A909" s="47"/>
      <c r="B909" s="47"/>
      <c r="C909" s="47"/>
      <c r="D909" s="47"/>
      <c r="E909" s="47"/>
      <c r="F909" s="47"/>
      <c r="G909" s="47"/>
      <c r="H909" s="84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47"/>
      <c r="U909" s="47"/>
      <c r="V909" s="47"/>
      <c r="W909" s="47"/>
      <c r="X909" s="47"/>
      <c r="Y909" s="47"/>
      <c r="Z909" s="47"/>
    </row>
    <row r="910" spans="1:26" ht="12.75" customHeight="1">
      <c r="A910" s="47"/>
      <c r="B910" s="47"/>
      <c r="C910" s="47"/>
      <c r="D910" s="47"/>
      <c r="E910" s="47"/>
      <c r="F910" s="47"/>
      <c r="G910" s="47"/>
      <c r="H910" s="84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47"/>
      <c r="U910" s="47"/>
      <c r="V910" s="47"/>
      <c r="W910" s="47"/>
      <c r="X910" s="47"/>
      <c r="Y910" s="47"/>
      <c r="Z910" s="47"/>
    </row>
    <row r="911" spans="1:26" ht="12.75" customHeight="1">
      <c r="A911" s="47"/>
      <c r="B911" s="47"/>
      <c r="C911" s="47"/>
      <c r="D911" s="47"/>
      <c r="E911" s="47"/>
      <c r="F911" s="47"/>
      <c r="G911" s="47"/>
      <c r="H911" s="84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47"/>
      <c r="U911" s="47"/>
      <c r="V911" s="47"/>
      <c r="W911" s="47"/>
      <c r="X911" s="47"/>
      <c r="Y911" s="47"/>
      <c r="Z911" s="47"/>
    </row>
    <row r="912" spans="1:26" ht="12.75" customHeight="1">
      <c r="A912" s="47"/>
      <c r="B912" s="47"/>
      <c r="C912" s="47"/>
      <c r="D912" s="47"/>
      <c r="E912" s="47"/>
      <c r="F912" s="47"/>
      <c r="G912" s="47"/>
      <c r="H912" s="84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47"/>
      <c r="U912" s="47"/>
      <c r="V912" s="47"/>
      <c r="W912" s="47"/>
      <c r="X912" s="47"/>
      <c r="Y912" s="47"/>
      <c r="Z912" s="47"/>
    </row>
    <row r="913" spans="1:26" ht="12.75" customHeight="1">
      <c r="A913" s="47"/>
      <c r="B913" s="47"/>
      <c r="C913" s="47"/>
      <c r="D913" s="47"/>
      <c r="E913" s="47"/>
      <c r="F913" s="47"/>
      <c r="G913" s="47"/>
      <c r="H913" s="84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47"/>
      <c r="U913" s="47"/>
      <c r="V913" s="47"/>
      <c r="W913" s="47"/>
      <c r="X913" s="47"/>
      <c r="Y913" s="47"/>
      <c r="Z913" s="47"/>
    </row>
    <row r="914" spans="1:26" ht="12.75" customHeight="1">
      <c r="A914" s="47"/>
      <c r="B914" s="47"/>
      <c r="C914" s="47"/>
      <c r="D914" s="47"/>
      <c r="E914" s="47"/>
      <c r="F914" s="47"/>
      <c r="G914" s="47"/>
      <c r="H914" s="84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47"/>
      <c r="U914" s="47"/>
      <c r="V914" s="47"/>
      <c r="W914" s="47"/>
      <c r="X914" s="47"/>
      <c r="Y914" s="47"/>
      <c r="Z914" s="47"/>
    </row>
    <row r="915" spans="1:26" ht="12.75" customHeight="1">
      <c r="A915" s="47"/>
      <c r="B915" s="47"/>
      <c r="C915" s="47"/>
      <c r="D915" s="47"/>
      <c r="E915" s="47"/>
      <c r="F915" s="47"/>
      <c r="G915" s="47"/>
      <c r="H915" s="84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47"/>
      <c r="U915" s="47"/>
      <c r="V915" s="47"/>
      <c r="W915" s="47"/>
      <c r="X915" s="47"/>
      <c r="Y915" s="47"/>
      <c r="Z915" s="47"/>
    </row>
    <row r="916" spans="1:26" ht="12.75" customHeight="1">
      <c r="A916" s="47"/>
      <c r="B916" s="47"/>
      <c r="C916" s="47"/>
      <c r="D916" s="47"/>
      <c r="E916" s="47"/>
      <c r="F916" s="47"/>
      <c r="G916" s="47"/>
      <c r="H916" s="84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47"/>
      <c r="U916" s="47"/>
      <c r="V916" s="47"/>
      <c r="W916" s="47"/>
      <c r="X916" s="47"/>
      <c r="Y916" s="47"/>
      <c r="Z916" s="47"/>
    </row>
    <row r="917" spans="1:26" ht="12.75" customHeight="1">
      <c r="A917" s="47"/>
      <c r="B917" s="47"/>
      <c r="C917" s="47"/>
      <c r="D917" s="47"/>
      <c r="E917" s="47"/>
      <c r="F917" s="47"/>
      <c r="G917" s="47"/>
      <c r="H917" s="84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47"/>
      <c r="U917" s="47"/>
      <c r="V917" s="47"/>
      <c r="W917" s="47"/>
      <c r="X917" s="47"/>
      <c r="Y917" s="47"/>
      <c r="Z917" s="47"/>
    </row>
    <row r="918" spans="1:26" ht="12.75" customHeight="1">
      <c r="A918" s="47"/>
      <c r="B918" s="47"/>
      <c r="C918" s="47"/>
      <c r="D918" s="47"/>
      <c r="E918" s="47"/>
      <c r="F918" s="47"/>
      <c r="G918" s="47"/>
      <c r="H918" s="84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47"/>
      <c r="U918" s="47"/>
      <c r="V918" s="47"/>
      <c r="W918" s="47"/>
      <c r="X918" s="47"/>
      <c r="Y918" s="47"/>
      <c r="Z918" s="47"/>
    </row>
    <row r="919" spans="1:26" ht="12.75" customHeight="1">
      <c r="A919" s="47"/>
      <c r="B919" s="47"/>
      <c r="C919" s="47"/>
      <c r="D919" s="47"/>
      <c r="E919" s="47"/>
      <c r="F919" s="47"/>
      <c r="G919" s="47"/>
      <c r="H919" s="84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47"/>
      <c r="U919" s="47"/>
      <c r="V919" s="47"/>
      <c r="W919" s="47"/>
      <c r="X919" s="47"/>
      <c r="Y919" s="47"/>
      <c r="Z919" s="47"/>
    </row>
    <row r="920" spans="1:26" ht="12.75" customHeight="1">
      <c r="A920" s="47"/>
      <c r="B920" s="47"/>
      <c r="C920" s="47"/>
      <c r="D920" s="47"/>
      <c r="E920" s="47"/>
      <c r="F920" s="47"/>
      <c r="G920" s="47"/>
      <c r="H920" s="84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47"/>
      <c r="U920" s="47"/>
      <c r="V920" s="47"/>
      <c r="W920" s="47"/>
      <c r="X920" s="47"/>
      <c r="Y920" s="47"/>
      <c r="Z920" s="47"/>
    </row>
    <row r="921" spans="1:26" ht="12.75" customHeight="1">
      <c r="A921" s="47"/>
      <c r="B921" s="47"/>
      <c r="C921" s="47"/>
      <c r="D921" s="47"/>
      <c r="E921" s="47"/>
      <c r="F921" s="47"/>
      <c r="G921" s="47"/>
      <c r="H921" s="84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47"/>
      <c r="U921" s="47"/>
      <c r="V921" s="47"/>
      <c r="W921" s="47"/>
      <c r="X921" s="47"/>
      <c r="Y921" s="47"/>
      <c r="Z921" s="47"/>
    </row>
    <row r="922" spans="1:26" ht="12.75" customHeight="1">
      <c r="A922" s="47"/>
      <c r="B922" s="47"/>
      <c r="C922" s="47"/>
      <c r="D922" s="47"/>
      <c r="E922" s="47"/>
      <c r="F922" s="47"/>
      <c r="G922" s="47"/>
      <c r="H922" s="84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47"/>
      <c r="U922" s="47"/>
      <c r="V922" s="47"/>
      <c r="W922" s="47"/>
      <c r="X922" s="47"/>
      <c r="Y922" s="47"/>
      <c r="Z922" s="47"/>
    </row>
    <row r="923" spans="1:26" ht="12.75" customHeight="1">
      <c r="A923" s="47"/>
      <c r="B923" s="47"/>
      <c r="C923" s="47"/>
      <c r="D923" s="47"/>
      <c r="E923" s="47"/>
      <c r="F923" s="47"/>
      <c r="G923" s="47"/>
      <c r="H923" s="84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47"/>
      <c r="U923" s="47"/>
      <c r="V923" s="47"/>
      <c r="W923" s="47"/>
      <c r="X923" s="47"/>
      <c r="Y923" s="47"/>
      <c r="Z923" s="47"/>
    </row>
    <row r="924" spans="1:26" ht="12.75" customHeight="1">
      <c r="A924" s="47"/>
      <c r="B924" s="47"/>
      <c r="C924" s="47"/>
      <c r="D924" s="47"/>
      <c r="E924" s="47"/>
      <c r="F924" s="47"/>
      <c r="G924" s="47"/>
      <c r="H924" s="84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47"/>
      <c r="U924" s="47"/>
      <c r="V924" s="47"/>
      <c r="W924" s="47"/>
      <c r="X924" s="47"/>
      <c r="Y924" s="47"/>
      <c r="Z924" s="47"/>
    </row>
    <row r="925" spans="1:26" ht="12.75" customHeight="1">
      <c r="A925" s="47"/>
      <c r="B925" s="47"/>
      <c r="C925" s="47"/>
      <c r="D925" s="47"/>
      <c r="E925" s="47"/>
      <c r="F925" s="47"/>
      <c r="G925" s="47"/>
      <c r="H925" s="84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47"/>
      <c r="U925" s="47"/>
      <c r="V925" s="47"/>
      <c r="W925" s="47"/>
      <c r="X925" s="47"/>
      <c r="Y925" s="47"/>
      <c r="Z925" s="47"/>
    </row>
    <row r="926" spans="1:26" ht="12.75" customHeight="1">
      <c r="A926" s="47"/>
      <c r="B926" s="47"/>
      <c r="C926" s="47"/>
      <c r="D926" s="47"/>
      <c r="E926" s="47"/>
      <c r="F926" s="47"/>
      <c r="G926" s="47"/>
      <c r="H926" s="84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47"/>
      <c r="U926" s="47"/>
      <c r="V926" s="47"/>
      <c r="W926" s="47"/>
      <c r="X926" s="47"/>
      <c r="Y926" s="47"/>
      <c r="Z926" s="47"/>
    </row>
    <row r="927" spans="1:26" ht="12.75" customHeight="1">
      <c r="A927" s="47"/>
      <c r="B927" s="47"/>
      <c r="C927" s="47"/>
      <c r="D927" s="47"/>
      <c r="E927" s="47"/>
      <c r="F927" s="47"/>
      <c r="G927" s="47"/>
      <c r="H927" s="84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47"/>
      <c r="U927" s="47"/>
      <c r="V927" s="47"/>
      <c r="W927" s="47"/>
      <c r="X927" s="47"/>
      <c r="Y927" s="47"/>
      <c r="Z927" s="47"/>
    </row>
    <row r="928" spans="1:26" ht="12.75" customHeight="1">
      <c r="A928" s="47"/>
      <c r="B928" s="47"/>
      <c r="C928" s="47"/>
      <c r="D928" s="47"/>
      <c r="E928" s="47"/>
      <c r="F928" s="47"/>
      <c r="G928" s="47"/>
      <c r="H928" s="84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47"/>
      <c r="U928" s="47"/>
      <c r="V928" s="47"/>
      <c r="W928" s="47"/>
      <c r="X928" s="47"/>
      <c r="Y928" s="47"/>
      <c r="Z928" s="47"/>
    </row>
    <row r="929" spans="1:26" ht="12.75" customHeight="1">
      <c r="A929" s="47"/>
      <c r="B929" s="47"/>
      <c r="C929" s="47"/>
      <c r="D929" s="47"/>
      <c r="E929" s="47"/>
      <c r="F929" s="47"/>
      <c r="G929" s="47"/>
      <c r="H929" s="84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47"/>
      <c r="U929" s="47"/>
      <c r="V929" s="47"/>
      <c r="W929" s="47"/>
      <c r="X929" s="47"/>
      <c r="Y929" s="47"/>
      <c r="Z929" s="47"/>
    </row>
    <row r="930" spans="1:26" ht="12.75" customHeight="1">
      <c r="A930" s="47"/>
      <c r="B930" s="47"/>
      <c r="C930" s="47"/>
      <c r="D930" s="47"/>
      <c r="E930" s="47"/>
      <c r="F930" s="47"/>
      <c r="G930" s="47"/>
      <c r="H930" s="84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47"/>
      <c r="U930" s="47"/>
      <c r="V930" s="47"/>
      <c r="W930" s="47"/>
      <c r="X930" s="47"/>
      <c r="Y930" s="47"/>
      <c r="Z930" s="47"/>
    </row>
    <row r="931" spans="1:26" ht="12.75" customHeight="1">
      <c r="A931" s="47"/>
      <c r="B931" s="47"/>
      <c r="C931" s="47"/>
      <c r="D931" s="47"/>
      <c r="E931" s="47"/>
      <c r="F931" s="47"/>
      <c r="G931" s="47"/>
      <c r="H931" s="84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47"/>
      <c r="B932" s="47"/>
      <c r="C932" s="47"/>
      <c r="D932" s="47"/>
      <c r="E932" s="47"/>
      <c r="F932" s="47"/>
      <c r="G932" s="47"/>
      <c r="H932" s="84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47"/>
      <c r="B933" s="47"/>
      <c r="C933" s="47"/>
      <c r="D933" s="47"/>
      <c r="E933" s="47"/>
      <c r="F933" s="47"/>
      <c r="G933" s="47"/>
      <c r="H933" s="84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47"/>
      <c r="B934" s="47"/>
      <c r="C934" s="47"/>
      <c r="D934" s="47"/>
      <c r="E934" s="47"/>
      <c r="F934" s="47"/>
      <c r="G934" s="47"/>
      <c r="H934" s="84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47"/>
      <c r="B935" s="47"/>
      <c r="C935" s="47"/>
      <c r="D935" s="47"/>
      <c r="E935" s="47"/>
      <c r="F935" s="47"/>
      <c r="G935" s="47"/>
      <c r="H935" s="84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47"/>
      <c r="B936" s="47"/>
      <c r="C936" s="47"/>
      <c r="D936" s="47"/>
      <c r="E936" s="47"/>
      <c r="F936" s="47"/>
      <c r="G936" s="47"/>
      <c r="H936" s="84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47"/>
      <c r="B937" s="47"/>
      <c r="C937" s="47"/>
      <c r="D937" s="47"/>
      <c r="E937" s="47"/>
      <c r="F937" s="47"/>
      <c r="G937" s="47"/>
      <c r="H937" s="84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47"/>
      <c r="B938" s="47"/>
      <c r="C938" s="47"/>
      <c r="D938" s="47"/>
      <c r="E938" s="47"/>
      <c r="F938" s="47"/>
      <c r="G938" s="47"/>
      <c r="H938" s="84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47"/>
      <c r="B939" s="47"/>
      <c r="C939" s="47"/>
      <c r="D939" s="47"/>
      <c r="E939" s="47"/>
      <c r="F939" s="47"/>
      <c r="G939" s="47"/>
      <c r="H939" s="84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47"/>
      <c r="B940" s="47"/>
      <c r="C940" s="47"/>
      <c r="D940" s="47"/>
      <c r="E940" s="47"/>
      <c r="F940" s="47"/>
      <c r="G940" s="47"/>
      <c r="H940" s="84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47"/>
      <c r="B941" s="47"/>
      <c r="C941" s="47"/>
      <c r="D941" s="47"/>
      <c r="E941" s="47"/>
      <c r="F941" s="47"/>
      <c r="G941" s="47"/>
      <c r="H941" s="84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47"/>
      <c r="B942" s="47"/>
      <c r="C942" s="47"/>
      <c r="D942" s="47"/>
      <c r="E942" s="47"/>
      <c r="F942" s="47"/>
      <c r="G942" s="47"/>
      <c r="H942" s="84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47"/>
      <c r="B943" s="47"/>
      <c r="C943" s="47"/>
      <c r="D943" s="47"/>
      <c r="E943" s="47"/>
      <c r="F943" s="47"/>
      <c r="G943" s="47"/>
      <c r="H943" s="84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47"/>
      <c r="B944" s="47"/>
      <c r="C944" s="47"/>
      <c r="D944" s="47"/>
      <c r="E944" s="47"/>
      <c r="F944" s="47"/>
      <c r="G944" s="47"/>
      <c r="H944" s="84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47"/>
      <c r="U944" s="47"/>
      <c r="V944" s="47"/>
      <c r="W944" s="47"/>
      <c r="X944" s="47"/>
      <c r="Y944" s="47"/>
      <c r="Z944" s="47"/>
    </row>
    <row r="945" spans="1:26" ht="12.75" customHeight="1">
      <c r="A945" s="47"/>
      <c r="B945" s="47"/>
      <c r="C945" s="47"/>
      <c r="D945" s="47"/>
      <c r="E945" s="47"/>
      <c r="F945" s="47"/>
      <c r="G945" s="47"/>
      <c r="H945" s="84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47"/>
      <c r="U945" s="47"/>
      <c r="V945" s="47"/>
      <c r="W945" s="47"/>
      <c r="X945" s="47"/>
      <c r="Y945" s="47"/>
      <c r="Z945" s="47"/>
    </row>
    <row r="946" spans="1:26" ht="12.75" customHeight="1">
      <c r="A946" s="47"/>
      <c r="B946" s="47"/>
      <c r="C946" s="47"/>
      <c r="D946" s="47"/>
      <c r="E946" s="47"/>
      <c r="F946" s="47"/>
      <c r="G946" s="47"/>
      <c r="H946" s="84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47"/>
      <c r="U946" s="47"/>
      <c r="V946" s="47"/>
      <c r="W946" s="47"/>
      <c r="X946" s="47"/>
      <c r="Y946" s="47"/>
      <c r="Z946" s="47"/>
    </row>
    <row r="947" spans="1:26" ht="12.75" customHeight="1">
      <c r="A947" s="47"/>
      <c r="B947" s="47"/>
      <c r="C947" s="47"/>
      <c r="D947" s="47"/>
      <c r="E947" s="47"/>
      <c r="F947" s="47"/>
      <c r="G947" s="47"/>
      <c r="H947" s="84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47"/>
      <c r="U947" s="47"/>
      <c r="V947" s="47"/>
      <c r="W947" s="47"/>
      <c r="X947" s="47"/>
      <c r="Y947" s="47"/>
      <c r="Z947" s="47"/>
    </row>
    <row r="948" spans="1:26" ht="12.75" customHeight="1">
      <c r="A948" s="47"/>
      <c r="B948" s="47"/>
      <c r="C948" s="47"/>
      <c r="D948" s="47"/>
      <c r="E948" s="47"/>
      <c r="F948" s="47"/>
      <c r="G948" s="47"/>
      <c r="H948" s="84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47"/>
      <c r="U948" s="47"/>
      <c r="V948" s="47"/>
      <c r="W948" s="47"/>
      <c r="X948" s="47"/>
      <c r="Y948" s="47"/>
      <c r="Z948" s="47"/>
    </row>
    <row r="949" spans="1:26" ht="12.75" customHeight="1">
      <c r="A949" s="47"/>
      <c r="B949" s="47"/>
      <c r="C949" s="47"/>
      <c r="D949" s="47"/>
      <c r="E949" s="47"/>
      <c r="F949" s="47"/>
      <c r="G949" s="47"/>
      <c r="H949" s="84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47"/>
      <c r="U949" s="47"/>
      <c r="V949" s="47"/>
      <c r="W949" s="47"/>
      <c r="X949" s="47"/>
      <c r="Y949" s="47"/>
      <c r="Z949" s="47"/>
    </row>
    <row r="950" spans="1:26" ht="12.75" customHeight="1">
      <c r="A950" s="47"/>
      <c r="B950" s="47"/>
      <c r="C950" s="47"/>
      <c r="D950" s="47"/>
      <c r="E950" s="47"/>
      <c r="F950" s="47"/>
      <c r="G950" s="47"/>
      <c r="H950" s="84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47"/>
      <c r="U950" s="47"/>
      <c r="V950" s="47"/>
      <c r="W950" s="47"/>
      <c r="X950" s="47"/>
      <c r="Y950" s="47"/>
      <c r="Z950" s="47"/>
    </row>
    <row r="951" spans="1:26" ht="12.75" customHeight="1">
      <c r="A951" s="47"/>
      <c r="B951" s="47"/>
      <c r="C951" s="47"/>
      <c r="D951" s="47"/>
      <c r="E951" s="47"/>
      <c r="F951" s="47"/>
      <c r="G951" s="47"/>
      <c r="H951" s="84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47"/>
      <c r="U951" s="47"/>
      <c r="V951" s="47"/>
      <c r="W951" s="47"/>
      <c r="X951" s="47"/>
      <c r="Y951" s="47"/>
      <c r="Z951" s="47"/>
    </row>
    <row r="952" spans="1:26" ht="12.75" customHeight="1">
      <c r="A952" s="47"/>
      <c r="B952" s="47"/>
      <c r="C952" s="47"/>
      <c r="D952" s="47"/>
      <c r="E952" s="47"/>
      <c r="F952" s="47"/>
      <c r="G952" s="47"/>
      <c r="H952" s="84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47"/>
      <c r="U952" s="47"/>
      <c r="V952" s="47"/>
      <c r="W952" s="47"/>
      <c r="X952" s="47"/>
      <c r="Y952" s="47"/>
      <c r="Z952" s="47"/>
    </row>
    <row r="953" spans="1:26" ht="12.75" customHeight="1">
      <c r="A953" s="47"/>
      <c r="B953" s="47"/>
      <c r="C953" s="47"/>
      <c r="D953" s="47"/>
      <c r="E953" s="47"/>
      <c r="F953" s="47"/>
      <c r="G953" s="47"/>
      <c r="H953" s="84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47"/>
      <c r="U953" s="47"/>
      <c r="V953" s="47"/>
      <c r="W953" s="47"/>
      <c r="X953" s="47"/>
      <c r="Y953" s="47"/>
      <c r="Z953" s="47"/>
    </row>
    <row r="954" spans="1:26" ht="12.75" customHeight="1">
      <c r="A954" s="47"/>
      <c r="B954" s="47"/>
      <c r="C954" s="47"/>
      <c r="D954" s="47"/>
      <c r="E954" s="47"/>
      <c r="F954" s="47"/>
      <c r="G954" s="47"/>
      <c r="H954" s="84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47"/>
      <c r="U954" s="47"/>
      <c r="V954" s="47"/>
      <c r="W954" s="47"/>
      <c r="X954" s="47"/>
      <c r="Y954" s="47"/>
      <c r="Z954" s="47"/>
    </row>
    <row r="955" spans="1:26" ht="12.75" customHeight="1">
      <c r="A955" s="47"/>
      <c r="B955" s="47"/>
      <c r="C955" s="47"/>
      <c r="D955" s="47"/>
      <c r="E955" s="47"/>
      <c r="F955" s="47"/>
      <c r="G955" s="47"/>
      <c r="H955" s="84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47"/>
      <c r="U955" s="47"/>
      <c r="V955" s="47"/>
      <c r="W955" s="47"/>
      <c r="X955" s="47"/>
      <c r="Y955" s="47"/>
      <c r="Z955" s="47"/>
    </row>
    <row r="956" spans="1:26" ht="12.75" customHeight="1">
      <c r="A956" s="47"/>
      <c r="B956" s="47"/>
      <c r="C956" s="47"/>
      <c r="D956" s="47"/>
      <c r="E956" s="47"/>
      <c r="F956" s="47"/>
      <c r="G956" s="47"/>
      <c r="H956" s="84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47"/>
      <c r="U956" s="47"/>
      <c r="V956" s="47"/>
      <c r="W956" s="47"/>
      <c r="X956" s="47"/>
      <c r="Y956" s="47"/>
      <c r="Z956" s="47"/>
    </row>
    <row r="957" spans="1:26" ht="12.75" customHeight="1">
      <c r="A957" s="47"/>
      <c r="B957" s="47"/>
      <c r="C957" s="47"/>
      <c r="D957" s="47"/>
      <c r="E957" s="47"/>
      <c r="F957" s="47"/>
      <c r="G957" s="47"/>
      <c r="H957" s="84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47"/>
      <c r="U957" s="47"/>
      <c r="V957" s="47"/>
      <c r="W957" s="47"/>
      <c r="X957" s="47"/>
      <c r="Y957" s="47"/>
      <c r="Z957" s="47"/>
    </row>
    <row r="958" spans="1:26" ht="12.75" customHeight="1">
      <c r="A958" s="47"/>
      <c r="B958" s="47"/>
      <c r="C958" s="47"/>
      <c r="D958" s="47"/>
      <c r="E958" s="47"/>
      <c r="F958" s="47"/>
      <c r="G958" s="47"/>
      <c r="H958" s="84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47"/>
      <c r="U958" s="47"/>
      <c r="V958" s="47"/>
      <c r="W958" s="47"/>
      <c r="X958" s="47"/>
      <c r="Y958" s="47"/>
      <c r="Z958" s="47"/>
    </row>
    <row r="959" spans="1:26" ht="12.75" customHeight="1">
      <c r="A959" s="47"/>
      <c r="B959" s="47"/>
      <c r="C959" s="47"/>
      <c r="D959" s="47"/>
      <c r="E959" s="47"/>
      <c r="F959" s="47"/>
      <c r="G959" s="47"/>
      <c r="H959" s="84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47"/>
      <c r="U959" s="47"/>
      <c r="V959" s="47"/>
      <c r="W959" s="47"/>
      <c r="X959" s="47"/>
      <c r="Y959" s="47"/>
      <c r="Z959" s="47"/>
    </row>
    <row r="960" spans="1:26" ht="12.75" customHeight="1">
      <c r="A960" s="47"/>
      <c r="B960" s="47"/>
      <c r="C960" s="47"/>
      <c r="D960" s="47"/>
      <c r="E960" s="47"/>
      <c r="F960" s="47"/>
      <c r="G960" s="47"/>
      <c r="H960" s="84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47"/>
      <c r="U960" s="47"/>
      <c r="V960" s="47"/>
      <c r="W960" s="47"/>
      <c r="X960" s="47"/>
      <c r="Y960" s="47"/>
      <c r="Z960" s="47"/>
    </row>
    <row r="961" spans="1:26" ht="12.75" customHeight="1">
      <c r="A961" s="47"/>
      <c r="B961" s="47"/>
      <c r="C961" s="47"/>
      <c r="D961" s="47"/>
      <c r="E961" s="47"/>
      <c r="F961" s="47"/>
      <c r="G961" s="47"/>
      <c r="H961" s="84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47"/>
      <c r="U961" s="47"/>
      <c r="V961" s="47"/>
      <c r="W961" s="47"/>
      <c r="X961" s="47"/>
      <c r="Y961" s="47"/>
      <c r="Z961" s="47"/>
    </row>
    <row r="962" spans="1:26" ht="12.75" customHeight="1">
      <c r="A962" s="47"/>
      <c r="B962" s="47"/>
      <c r="C962" s="47"/>
      <c r="D962" s="47"/>
      <c r="E962" s="47"/>
      <c r="F962" s="47"/>
      <c r="G962" s="47"/>
      <c r="H962" s="84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47"/>
      <c r="U962" s="47"/>
      <c r="V962" s="47"/>
      <c r="W962" s="47"/>
      <c r="X962" s="47"/>
      <c r="Y962" s="47"/>
      <c r="Z962" s="47"/>
    </row>
    <row r="963" spans="1:26" ht="12.75" customHeight="1">
      <c r="A963" s="47"/>
      <c r="B963" s="47"/>
      <c r="C963" s="47"/>
      <c r="D963" s="47"/>
      <c r="E963" s="47"/>
      <c r="F963" s="47"/>
      <c r="G963" s="47"/>
      <c r="H963" s="84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47"/>
      <c r="U963" s="47"/>
      <c r="V963" s="47"/>
      <c r="W963" s="47"/>
      <c r="X963" s="47"/>
      <c r="Y963" s="47"/>
      <c r="Z963" s="47"/>
    </row>
    <row r="964" spans="1:26" ht="12.75" customHeight="1">
      <c r="A964" s="47"/>
      <c r="B964" s="47"/>
      <c r="C964" s="47"/>
      <c r="D964" s="47"/>
      <c r="E964" s="47"/>
      <c r="F964" s="47"/>
      <c r="G964" s="47"/>
      <c r="H964" s="84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47"/>
      <c r="U964" s="47"/>
      <c r="V964" s="47"/>
      <c r="W964" s="47"/>
      <c r="X964" s="47"/>
      <c r="Y964" s="47"/>
      <c r="Z964" s="47"/>
    </row>
    <row r="965" spans="1:26" ht="12.75" customHeight="1">
      <c r="A965" s="47"/>
      <c r="B965" s="47"/>
      <c r="C965" s="47"/>
      <c r="D965" s="47"/>
      <c r="E965" s="47"/>
      <c r="F965" s="47"/>
      <c r="G965" s="47"/>
      <c r="H965" s="84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47"/>
      <c r="U965" s="47"/>
      <c r="V965" s="47"/>
      <c r="W965" s="47"/>
      <c r="X965" s="47"/>
      <c r="Y965" s="47"/>
      <c r="Z965" s="47"/>
    </row>
    <row r="966" spans="1:26" ht="12.75" customHeight="1">
      <c r="A966" s="47"/>
      <c r="B966" s="47"/>
      <c r="C966" s="47"/>
      <c r="D966" s="47"/>
      <c r="E966" s="47"/>
      <c r="F966" s="47"/>
      <c r="G966" s="47"/>
      <c r="H966" s="84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47"/>
      <c r="U966" s="47"/>
      <c r="V966" s="47"/>
      <c r="W966" s="47"/>
      <c r="X966" s="47"/>
      <c r="Y966" s="47"/>
      <c r="Z966" s="47"/>
    </row>
    <row r="967" spans="1:26" ht="12.75" customHeight="1">
      <c r="A967" s="47"/>
      <c r="B967" s="47"/>
      <c r="C967" s="47"/>
      <c r="D967" s="47"/>
      <c r="E967" s="47"/>
      <c r="F967" s="47"/>
      <c r="G967" s="47"/>
      <c r="H967" s="84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47"/>
      <c r="U967" s="47"/>
      <c r="V967" s="47"/>
      <c r="W967" s="47"/>
      <c r="X967" s="47"/>
      <c r="Y967" s="47"/>
      <c r="Z967" s="47"/>
    </row>
    <row r="968" spans="1:26" ht="12.75" customHeight="1">
      <c r="A968" s="47"/>
      <c r="B968" s="47"/>
      <c r="C968" s="47"/>
      <c r="D968" s="47"/>
      <c r="E968" s="47"/>
      <c r="F968" s="47"/>
      <c r="G968" s="47"/>
      <c r="H968" s="84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47"/>
      <c r="U968" s="47"/>
      <c r="V968" s="47"/>
      <c r="W968" s="47"/>
      <c r="X968" s="47"/>
      <c r="Y968" s="47"/>
      <c r="Z968" s="47"/>
    </row>
    <row r="969" spans="1:26" ht="12.75" customHeight="1">
      <c r="A969" s="47"/>
      <c r="B969" s="47"/>
      <c r="C969" s="47"/>
      <c r="D969" s="47"/>
      <c r="E969" s="47"/>
      <c r="F969" s="47"/>
      <c r="G969" s="47"/>
      <c r="H969" s="84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47"/>
      <c r="U969" s="47"/>
      <c r="V969" s="47"/>
      <c r="W969" s="47"/>
      <c r="X969" s="47"/>
      <c r="Y969" s="47"/>
      <c r="Z969" s="47"/>
    </row>
    <row r="970" spans="1:26" ht="12.75" customHeight="1">
      <c r="A970" s="47"/>
      <c r="B970" s="47"/>
      <c r="C970" s="47"/>
      <c r="D970" s="47"/>
      <c r="E970" s="47"/>
      <c r="F970" s="47"/>
      <c r="G970" s="47"/>
      <c r="H970" s="84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47"/>
      <c r="U970" s="47"/>
      <c r="V970" s="47"/>
      <c r="W970" s="47"/>
      <c r="X970" s="47"/>
      <c r="Y970" s="47"/>
      <c r="Z970" s="47"/>
    </row>
    <row r="971" spans="1:26" ht="12.75" customHeight="1">
      <c r="A971" s="47"/>
      <c r="B971" s="47"/>
      <c r="C971" s="47"/>
      <c r="D971" s="47"/>
      <c r="E971" s="47"/>
      <c r="F971" s="47"/>
      <c r="G971" s="47"/>
      <c r="H971" s="84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47"/>
      <c r="U971" s="47"/>
      <c r="V971" s="47"/>
      <c r="W971" s="47"/>
      <c r="X971" s="47"/>
      <c r="Y971" s="47"/>
      <c r="Z971" s="47"/>
    </row>
    <row r="972" spans="1:26" ht="12.75" customHeight="1">
      <c r="A972" s="47"/>
      <c r="B972" s="47"/>
      <c r="C972" s="47"/>
      <c r="D972" s="47"/>
      <c r="E972" s="47"/>
      <c r="F972" s="47"/>
      <c r="G972" s="47"/>
      <c r="H972" s="84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47"/>
      <c r="U972" s="47"/>
      <c r="V972" s="47"/>
      <c r="W972" s="47"/>
      <c r="X972" s="47"/>
      <c r="Y972" s="47"/>
      <c r="Z972" s="47"/>
    </row>
    <row r="973" spans="1:26" ht="12.75" customHeight="1">
      <c r="A973" s="47"/>
      <c r="B973" s="47"/>
      <c r="C973" s="47"/>
      <c r="D973" s="47"/>
      <c r="E973" s="47"/>
      <c r="F973" s="47"/>
      <c r="G973" s="47"/>
      <c r="H973" s="84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47"/>
      <c r="U973" s="47"/>
      <c r="V973" s="47"/>
      <c r="W973" s="47"/>
      <c r="X973" s="47"/>
      <c r="Y973" s="47"/>
      <c r="Z973" s="47"/>
    </row>
    <row r="974" spans="1:26" ht="12.75" customHeight="1">
      <c r="A974" s="47"/>
      <c r="B974" s="47"/>
      <c r="C974" s="47"/>
      <c r="D974" s="47"/>
      <c r="E974" s="47"/>
      <c r="F974" s="47"/>
      <c r="G974" s="47"/>
      <c r="H974" s="84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47"/>
      <c r="U974" s="47"/>
      <c r="V974" s="47"/>
      <c r="W974" s="47"/>
      <c r="X974" s="47"/>
      <c r="Y974" s="47"/>
      <c r="Z974" s="47"/>
    </row>
    <row r="975" spans="1:26" ht="12.75" customHeight="1">
      <c r="A975" s="47"/>
      <c r="B975" s="47"/>
      <c r="C975" s="47"/>
      <c r="D975" s="47"/>
      <c r="E975" s="47"/>
      <c r="F975" s="47"/>
      <c r="G975" s="47"/>
      <c r="H975" s="84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47"/>
      <c r="U975" s="47"/>
      <c r="V975" s="47"/>
      <c r="W975" s="47"/>
      <c r="X975" s="47"/>
      <c r="Y975" s="47"/>
      <c r="Z975" s="47"/>
    </row>
    <row r="976" spans="1:26" ht="12.75" customHeight="1">
      <c r="A976" s="47"/>
      <c r="B976" s="47"/>
      <c r="C976" s="47"/>
      <c r="D976" s="47"/>
      <c r="E976" s="47"/>
      <c r="F976" s="47"/>
      <c r="G976" s="47"/>
      <c r="H976" s="84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47"/>
      <c r="U976" s="47"/>
      <c r="V976" s="47"/>
      <c r="W976" s="47"/>
      <c r="X976" s="47"/>
      <c r="Y976" s="47"/>
      <c r="Z976" s="47"/>
    </row>
    <row r="977" spans="1:26" ht="12.75" customHeight="1">
      <c r="A977" s="47"/>
      <c r="B977" s="47"/>
      <c r="C977" s="47"/>
      <c r="D977" s="47"/>
      <c r="E977" s="47"/>
      <c r="F977" s="47"/>
      <c r="G977" s="47"/>
      <c r="H977" s="84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47"/>
      <c r="U977" s="47"/>
      <c r="V977" s="47"/>
      <c r="W977" s="47"/>
      <c r="X977" s="47"/>
      <c r="Y977" s="47"/>
      <c r="Z977" s="47"/>
    </row>
    <row r="978" spans="1:26" ht="12.75" customHeight="1">
      <c r="A978" s="47"/>
      <c r="B978" s="47"/>
      <c r="C978" s="47"/>
      <c r="D978" s="47"/>
      <c r="E978" s="47"/>
      <c r="F978" s="47"/>
      <c r="G978" s="47"/>
      <c r="H978" s="84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47"/>
      <c r="U978" s="47"/>
      <c r="V978" s="47"/>
      <c r="W978" s="47"/>
      <c r="X978" s="47"/>
      <c r="Y978" s="47"/>
      <c r="Z978" s="47"/>
    </row>
    <row r="979" spans="1:26" ht="12.75" customHeight="1">
      <c r="A979" s="47"/>
      <c r="B979" s="47"/>
      <c r="C979" s="47"/>
      <c r="D979" s="47"/>
      <c r="E979" s="47"/>
      <c r="F979" s="47"/>
      <c r="G979" s="47"/>
      <c r="H979" s="84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47"/>
      <c r="U979" s="47"/>
      <c r="V979" s="47"/>
      <c r="W979" s="47"/>
      <c r="X979" s="47"/>
      <c r="Y979" s="47"/>
      <c r="Z979" s="47"/>
    </row>
    <row r="980" spans="1:26" ht="12.75" customHeight="1">
      <c r="A980" s="47"/>
      <c r="B980" s="47"/>
      <c r="C980" s="47"/>
      <c r="D980" s="47"/>
      <c r="E980" s="47"/>
      <c r="F980" s="47"/>
      <c r="G980" s="47"/>
      <c r="H980" s="84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47"/>
      <c r="U980" s="47"/>
      <c r="V980" s="47"/>
      <c r="W980" s="47"/>
      <c r="X980" s="47"/>
      <c r="Y980" s="47"/>
      <c r="Z980" s="47"/>
    </row>
    <row r="981" spans="1:26" ht="12.75" customHeight="1">
      <c r="A981" s="47"/>
      <c r="B981" s="47"/>
      <c r="C981" s="47"/>
      <c r="D981" s="47"/>
      <c r="E981" s="47"/>
      <c r="F981" s="47"/>
      <c r="G981" s="47"/>
      <c r="H981" s="84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47"/>
      <c r="U981" s="47"/>
      <c r="V981" s="47"/>
      <c r="W981" s="47"/>
      <c r="X981" s="47"/>
      <c r="Y981" s="47"/>
      <c r="Z981" s="47"/>
    </row>
    <row r="982" spans="1:26" ht="12.75" customHeight="1">
      <c r="A982" s="47"/>
      <c r="B982" s="47"/>
      <c r="C982" s="47"/>
      <c r="D982" s="47"/>
      <c r="E982" s="47"/>
      <c r="F982" s="47"/>
      <c r="G982" s="47"/>
      <c r="H982" s="84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47"/>
      <c r="U982" s="47"/>
      <c r="V982" s="47"/>
      <c r="W982" s="47"/>
      <c r="X982" s="47"/>
      <c r="Y982" s="47"/>
      <c r="Z982" s="47"/>
    </row>
    <row r="983" spans="1:26" ht="12.75" customHeight="1">
      <c r="A983" s="47"/>
      <c r="B983" s="47"/>
      <c r="C983" s="47"/>
      <c r="D983" s="47"/>
      <c r="E983" s="47"/>
      <c r="F983" s="47"/>
      <c r="G983" s="47"/>
      <c r="H983" s="84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47"/>
      <c r="U983" s="47"/>
      <c r="V983" s="47"/>
      <c r="W983" s="47"/>
      <c r="X983" s="47"/>
      <c r="Y983" s="47"/>
      <c r="Z983" s="47"/>
    </row>
    <row r="984" spans="1:26" ht="12.75" customHeight="1">
      <c r="A984" s="47"/>
      <c r="B984" s="47"/>
      <c r="C984" s="47"/>
      <c r="D984" s="47"/>
      <c r="E984" s="47"/>
      <c r="F984" s="47"/>
      <c r="G984" s="47"/>
      <c r="H984" s="84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47"/>
      <c r="U984" s="47"/>
      <c r="V984" s="47"/>
      <c r="W984" s="47"/>
      <c r="X984" s="47"/>
      <c r="Y984" s="47"/>
      <c r="Z984" s="47"/>
    </row>
    <row r="985" spans="1:26" ht="12.75" customHeight="1">
      <c r="A985" s="47"/>
      <c r="B985" s="47"/>
      <c r="C985" s="47"/>
      <c r="D985" s="47"/>
      <c r="E985" s="47"/>
      <c r="F985" s="47"/>
      <c r="G985" s="47"/>
      <c r="H985" s="84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47"/>
      <c r="U985" s="47"/>
      <c r="V985" s="47"/>
      <c r="W985" s="47"/>
      <c r="X985" s="47"/>
      <c r="Y985" s="47"/>
      <c r="Z985" s="47"/>
    </row>
    <row r="986" spans="1:26" ht="12.75" customHeight="1">
      <c r="A986" s="47"/>
      <c r="B986" s="47"/>
      <c r="C986" s="47"/>
      <c r="D986" s="47"/>
      <c r="E986" s="47"/>
      <c r="F986" s="47"/>
      <c r="G986" s="47"/>
      <c r="H986" s="84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47"/>
      <c r="U986" s="47"/>
      <c r="V986" s="47"/>
      <c r="W986" s="47"/>
      <c r="X986" s="47"/>
      <c r="Y986" s="47"/>
      <c r="Z986" s="47"/>
    </row>
    <row r="987" spans="1:26" ht="12.75" customHeight="1">
      <c r="A987" s="47"/>
      <c r="B987" s="47"/>
      <c r="C987" s="47"/>
      <c r="D987" s="47"/>
      <c r="E987" s="47"/>
      <c r="F987" s="47"/>
      <c r="G987" s="47"/>
      <c r="H987" s="84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47"/>
      <c r="U987" s="47"/>
      <c r="V987" s="47"/>
      <c r="W987" s="47"/>
      <c r="X987" s="47"/>
      <c r="Y987" s="47"/>
      <c r="Z987" s="47"/>
    </row>
    <row r="988" spans="1:26" ht="12.75" customHeight="1">
      <c r="A988" s="47"/>
      <c r="B988" s="47"/>
      <c r="C988" s="47"/>
      <c r="D988" s="47"/>
      <c r="E988" s="47"/>
      <c r="F988" s="47"/>
      <c r="G988" s="47"/>
      <c r="H988" s="84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47"/>
      <c r="U988" s="47"/>
      <c r="V988" s="47"/>
      <c r="W988" s="47"/>
      <c r="X988" s="47"/>
      <c r="Y988" s="47"/>
      <c r="Z988" s="47"/>
    </row>
    <row r="989" spans="1:26" ht="12.75" customHeight="1">
      <c r="A989" s="47"/>
      <c r="B989" s="47"/>
      <c r="C989" s="47"/>
      <c r="D989" s="47"/>
      <c r="E989" s="47"/>
      <c r="F989" s="47"/>
      <c r="G989" s="47"/>
      <c r="H989" s="84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47"/>
      <c r="U989" s="47"/>
      <c r="V989" s="47"/>
      <c r="W989" s="47"/>
      <c r="X989" s="47"/>
      <c r="Y989" s="47"/>
      <c r="Z989" s="47"/>
    </row>
    <row r="990" spans="1:26" ht="12.75" customHeight="1">
      <c r="A990" s="47"/>
      <c r="B990" s="47"/>
      <c r="C990" s="47"/>
      <c r="D990" s="47"/>
      <c r="E990" s="47"/>
      <c r="F990" s="47"/>
      <c r="G990" s="47"/>
      <c r="H990" s="84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47"/>
      <c r="U990" s="47"/>
      <c r="V990" s="47"/>
      <c r="W990" s="47"/>
      <c r="X990" s="47"/>
      <c r="Y990" s="47"/>
      <c r="Z990" s="47"/>
    </row>
    <row r="991" spans="1:26" ht="12.75" customHeight="1">
      <c r="A991" s="47"/>
      <c r="B991" s="47"/>
      <c r="C991" s="47"/>
      <c r="D991" s="47"/>
      <c r="E991" s="47"/>
      <c r="F991" s="47"/>
      <c r="G991" s="47"/>
      <c r="H991" s="84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47"/>
      <c r="U991" s="47"/>
      <c r="V991" s="47"/>
      <c r="W991" s="47"/>
      <c r="X991" s="47"/>
      <c r="Y991" s="47"/>
      <c r="Z991" s="47"/>
    </row>
    <row r="992" spans="1:26" ht="12.75" customHeight="1">
      <c r="A992" s="47"/>
      <c r="B992" s="47"/>
      <c r="C992" s="47"/>
      <c r="D992" s="47"/>
      <c r="E992" s="47"/>
      <c r="F992" s="47"/>
      <c r="G992" s="47"/>
      <c r="H992" s="84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47"/>
      <c r="U992" s="47"/>
      <c r="V992" s="47"/>
      <c r="W992" s="47"/>
      <c r="X992" s="47"/>
      <c r="Y992" s="47"/>
      <c r="Z992" s="47"/>
    </row>
    <row r="993" spans="1:26" ht="12.75" customHeight="1">
      <c r="A993" s="47"/>
      <c r="B993" s="47"/>
      <c r="C993" s="47"/>
      <c r="D993" s="47"/>
      <c r="E993" s="47"/>
      <c r="F993" s="47"/>
      <c r="G993" s="47"/>
      <c r="H993" s="84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47"/>
      <c r="U993" s="47"/>
      <c r="V993" s="47"/>
      <c r="W993" s="47"/>
      <c r="X993" s="47"/>
      <c r="Y993" s="47"/>
      <c r="Z993" s="47"/>
    </row>
    <row r="994" spans="1:26" ht="12.75" customHeight="1">
      <c r="A994" s="47"/>
      <c r="B994" s="47"/>
      <c r="C994" s="47"/>
      <c r="D994" s="47"/>
      <c r="E994" s="47"/>
      <c r="F994" s="47"/>
      <c r="G994" s="47"/>
      <c r="H994" s="84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47"/>
      <c r="B995" s="47"/>
      <c r="C995" s="47"/>
      <c r="D995" s="47"/>
      <c r="E995" s="47"/>
      <c r="F995" s="47"/>
      <c r="G995" s="47"/>
      <c r="H995" s="84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47"/>
      <c r="B996" s="47"/>
      <c r="C996" s="47"/>
      <c r="D996" s="47"/>
      <c r="E996" s="47"/>
      <c r="F996" s="47"/>
      <c r="G996" s="47"/>
      <c r="H996" s="84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47"/>
      <c r="B997" s="47"/>
      <c r="C997" s="47"/>
      <c r="D997" s="47"/>
      <c r="E997" s="47"/>
      <c r="F997" s="47"/>
      <c r="G997" s="47"/>
      <c r="H997" s="84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47"/>
      <c r="B998" s="47"/>
      <c r="C998" s="47"/>
      <c r="D998" s="47"/>
      <c r="E998" s="47"/>
      <c r="F998" s="47"/>
      <c r="G998" s="47"/>
      <c r="H998" s="84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47"/>
      <c r="B999" s="47"/>
      <c r="C999" s="47"/>
      <c r="D999" s="47"/>
      <c r="E999" s="47"/>
      <c r="F999" s="47"/>
      <c r="G999" s="47"/>
      <c r="H999" s="84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47"/>
      <c r="B1000" s="47"/>
      <c r="C1000" s="47"/>
      <c r="D1000" s="47"/>
      <c r="E1000" s="47"/>
      <c r="F1000" s="47"/>
      <c r="G1000" s="47"/>
      <c r="H1000" s="84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47"/>
      <c r="U1000" s="47"/>
      <c r="V1000" s="47"/>
      <c r="W1000" s="47"/>
      <c r="X1000" s="47"/>
      <c r="Y1000" s="47"/>
      <c r="Z1000" s="47"/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/>
  <cols>
    <col min="1" max="1" width="6.44140625" customWidth="1"/>
    <col min="2" max="2" width="5.44140625" customWidth="1"/>
    <col min="3" max="3" width="6.44140625" customWidth="1"/>
    <col min="4" max="4" width="7.109375" customWidth="1"/>
    <col min="5" max="5" width="8" customWidth="1"/>
    <col min="6" max="6" width="20.44140625" customWidth="1"/>
    <col min="7" max="7" width="20.109375" customWidth="1"/>
    <col min="8" max="8" width="52.6640625" customWidth="1"/>
    <col min="9" max="9" width="9.6640625" customWidth="1"/>
    <col min="10" max="10" width="19.44140625" customWidth="1"/>
    <col min="11" max="11" width="7.44140625" customWidth="1"/>
    <col min="12" max="12" width="8.44140625" customWidth="1"/>
    <col min="13" max="13" width="9.6640625" customWidth="1"/>
    <col min="14" max="14" width="13.109375" customWidth="1"/>
    <col min="15" max="15" width="21.6640625" customWidth="1"/>
    <col min="16" max="16" width="20.6640625" customWidth="1"/>
    <col min="17" max="17" width="13.77734375" customWidth="1"/>
    <col min="18" max="18" width="25" customWidth="1"/>
    <col min="19" max="19" width="15.6640625" customWidth="1"/>
    <col min="20" max="26" width="13.44140625" customWidth="1"/>
  </cols>
  <sheetData>
    <row r="1" spans="1:26" ht="16.5" customHeight="1">
      <c r="A1" s="2" t="s">
        <v>18</v>
      </c>
      <c r="B1" s="3"/>
      <c r="C1" s="4"/>
      <c r="D1" s="5"/>
      <c r="E1" s="2"/>
      <c r="F1" s="6"/>
      <c r="G1" s="3"/>
      <c r="H1" s="9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5"/>
      <c r="Y1" s="15"/>
      <c r="Z1" s="15"/>
    </row>
    <row r="2" spans="1:26" ht="73.5" customHeight="1">
      <c r="A2" s="14" t="s">
        <v>193</v>
      </c>
      <c r="B2" s="14" t="s">
        <v>205</v>
      </c>
      <c r="C2" s="14" t="s">
        <v>207</v>
      </c>
      <c r="D2" s="16" t="s">
        <v>208</v>
      </c>
      <c r="E2" s="16" t="s">
        <v>221</v>
      </c>
      <c r="F2" s="16" t="s">
        <v>222</v>
      </c>
      <c r="G2" s="16" t="s">
        <v>223</v>
      </c>
      <c r="H2" s="18" t="s">
        <v>227</v>
      </c>
      <c r="I2" s="19" t="s">
        <v>246</v>
      </c>
      <c r="J2" s="19" t="s">
        <v>258</v>
      </c>
      <c r="K2" s="19" t="s">
        <v>260</v>
      </c>
      <c r="L2" s="21" t="s">
        <v>261</v>
      </c>
      <c r="M2" s="21" t="s">
        <v>322</v>
      </c>
      <c r="N2" s="21" t="s">
        <v>324</v>
      </c>
      <c r="O2" s="22" t="s">
        <v>325</v>
      </c>
      <c r="P2" s="22" t="s">
        <v>334</v>
      </c>
      <c r="Q2" s="22" t="s">
        <v>335</v>
      </c>
      <c r="R2" s="22" t="s">
        <v>336</v>
      </c>
      <c r="S2" s="23" t="s">
        <v>337</v>
      </c>
      <c r="T2" s="25"/>
      <c r="U2" s="25"/>
      <c r="V2" s="25"/>
      <c r="W2" s="25"/>
      <c r="X2" s="25"/>
      <c r="Y2" s="25"/>
      <c r="Z2" s="25"/>
    </row>
    <row r="3" spans="1:26" ht="22.5" customHeight="1">
      <c r="A3" s="57"/>
      <c r="B3" s="58"/>
      <c r="C3" s="58"/>
      <c r="D3" s="58"/>
      <c r="E3" s="60"/>
      <c r="F3" s="62"/>
      <c r="G3" s="62"/>
      <c r="H3" s="63"/>
      <c r="I3" s="26">
        <v>7</v>
      </c>
      <c r="J3" s="26" t="s">
        <v>797</v>
      </c>
      <c r="K3" s="26">
        <v>71</v>
      </c>
      <c r="L3" s="29" t="s">
        <v>798</v>
      </c>
      <c r="M3" s="30">
        <v>719</v>
      </c>
      <c r="N3" s="32" t="s">
        <v>799</v>
      </c>
      <c r="O3" s="32" t="s">
        <v>801</v>
      </c>
      <c r="P3" s="33" t="s">
        <v>803</v>
      </c>
      <c r="Q3" s="32"/>
      <c r="R3" s="31" t="s">
        <v>805</v>
      </c>
      <c r="S3" s="31"/>
      <c r="T3" s="44"/>
      <c r="U3" s="47"/>
      <c r="V3" s="15"/>
      <c r="W3" s="15"/>
      <c r="X3" s="15"/>
      <c r="Y3" s="15"/>
      <c r="Z3" s="15"/>
    </row>
    <row r="4" spans="1:26" ht="22.5" customHeight="1">
      <c r="A4" s="57"/>
      <c r="B4" s="58"/>
      <c r="C4" s="57"/>
      <c r="D4" s="58"/>
      <c r="E4" s="65"/>
      <c r="F4" s="65"/>
      <c r="G4" s="62"/>
      <c r="H4" s="63"/>
      <c r="I4" s="26">
        <v>7</v>
      </c>
      <c r="J4" s="26" t="s">
        <v>797</v>
      </c>
      <c r="K4" s="26">
        <v>72</v>
      </c>
      <c r="L4" s="29" t="s">
        <v>836</v>
      </c>
      <c r="M4" s="31">
        <v>721</v>
      </c>
      <c r="N4" s="31" t="s">
        <v>838</v>
      </c>
      <c r="O4" s="56" t="s">
        <v>862</v>
      </c>
      <c r="P4" s="66" t="s">
        <v>864</v>
      </c>
      <c r="Q4" s="40"/>
      <c r="R4" s="34" t="s">
        <v>467</v>
      </c>
      <c r="S4" s="36"/>
      <c r="T4" s="44"/>
      <c r="U4" s="47"/>
      <c r="V4" s="15"/>
      <c r="W4" s="15"/>
      <c r="X4" s="15"/>
      <c r="Y4" s="15"/>
      <c r="Z4" s="15"/>
    </row>
    <row r="5" spans="1:26" ht="22.5" customHeight="1">
      <c r="A5" s="57"/>
      <c r="B5" s="58"/>
      <c r="C5" s="58"/>
      <c r="D5" s="58"/>
      <c r="E5" s="60"/>
      <c r="F5" s="62"/>
      <c r="G5" s="62"/>
      <c r="H5" s="63"/>
      <c r="I5" s="26">
        <v>7</v>
      </c>
      <c r="J5" s="26" t="s">
        <v>797</v>
      </c>
      <c r="K5" s="26">
        <v>72</v>
      </c>
      <c r="L5" s="29" t="s">
        <v>836</v>
      </c>
      <c r="M5" s="30">
        <v>721</v>
      </c>
      <c r="N5" s="32" t="s">
        <v>838</v>
      </c>
      <c r="O5" s="56" t="s">
        <v>862</v>
      </c>
      <c r="P5" s="33" t="s">
        <v>865</v>
      </c>
      <c r="Q5" s="29"/>
      <c r="R5" s="31" t="s">
        <v>866</v>
      </c>
      <c r="S5" s="36"/>
      <c r="T5" s="44"/>
      <c r="U5" s="47"/>
      <c r="V5" s="15"/>
      <c r="W5" s="15"/>
      <c r="X5" s="15"/>
      <c r="Y5" s="15"/>
      <c r="Z5" s="15"/>
    </row>
    <row r="6" spans="1:26" ht="22.5" customHeight="1">
      <c r="A6" s="57"/>
      <c r="B6" s="58"/>
      <c r="C6" s="58"/>
      <c r="D6" s="58"/>
      <c r="E6" s="60"/>
      <c r="F6" s="62"/>
      <c r="G6" s="62"/>
      <c r="H6" s="63"/>
      <c r="I6" s="26">
        <v>7</v>
      </c>
      <c r="J6" s="26" t="s">
        <v>797</v>
      </c>
      <c r="K6" s="26">
        <v>72</v>
      </c>
      <c r="L6" s="29" t="s">
        <v>836</v>
      </c>
      <c r="M6" s="30">
        <v>721</v>
      </c>
      <c r="N6" s="32" t="s">
        <v>838</v>
      </c>
      <c r="O6" s="56" t="s">
        <v>862</v>
      </c>
      <c r="P6" s="66" t="s">
        <v>871</v>
      </c>
      <c r="Q6" s="29"/>
      <c r="R6" s="34" t="s">
        <v>872</v>
      </c>
      <c r="S6" s="36"/>
      <c r="T6" s="44"/>
      <c r="U6" s="47"/>
      <c r="V6" s="15"/>
      <c r="W6" s="15"/>
      <c r="X6" s="15"/>
      <c r="Y6" s="15"/>
      <c r="Z6" s="15"/>
    </row>
    <row r="7" spans="1:26" ht="22.5" customHeight="1">
      <c r="A7" s="57"/>
      <c r="B7" s="58"/>
      <c r="C7" s="58"/>
      <c r="D7" s="58"/>
      <c r="E7" s="60"/>
      <c r="F7" s="62"/>
      <c r="G7" s="62"/>
      <c r="H7" s="63"/>
      <c r="I7" s="26">
        <v>7</v>
      </c>
      <c r="J7" s="26" t="s">
        <v>797</v>
      </c>
      <c r="K7" s="26">
        <v>72</v>
      </c>
      <c r="L7" s="29" t="s">
        <v>836</v>
      </c>
      <c r="M7" s="30">
        <v>721</v>
      </c>
      <c r="N7" s="32" t="s">
        <v>838</v>
      </c>
      <c r="O7" s="56" t="s">
        <v>862</v>
      </c>
      <c r="P7" s="66" t="s">
        <v>874</v>
      </c>
      <c r="Q7" s="29"/>
      <c r="R7" s="34" t="s">
        <v>876</v>
      </c>
      <c r="S7" s="36"/>
      <c r="T7" s="44"/>
      <c r="U7" s="47"/>
      <c r="V7" s="15"/>
      <c r="W7" s="15"/>
      <c r="X7" s="15"/>
      <c r="Y7" s="15"/>
      <c r="Z7" s="15"/>
    </row>
    <row r="8" spans="1:26" ht="22.5" customHeight="1">
      <c r="A8" s="57"/>
      <c r="B8" s="58"/>
      <c r="C8" s="58"/>
      <c r="D8" s="58"/>
      <c r="E8" s="60"/>
      <c r="F8" s="62"/>
      <c r="G8" s="62"/>
      <c r="H8" s="63"/>
      <c r="I8" s="26">
        <v>7</v>
      </c>
      <c r="J8" s="26" t="s">
        <v>797</v>
      </c>
      <c r="K8" s="26">
        <v>72</v>
      </c>
      <c r="L8" s="29" t="s">
        <v>836</v>
      </c>
      <c r="M8" s="30">
        <v>721</v>
      </c>
      <c r="N8" s="32" t="s">
        <v>838</v>
      </c>
      <c r="O8" s="56" t="s">
        <v>862</v>
      </c>
      <c r="P8" s="66" t="s">
        <v>911</v>
      </c>
      <c r="Q8" s="29"/>
      <c r="R8" s="34" t="s">
        <v>912</v>
      </c>
      <c r="S8" s="36"/>
      <c r="T8" s="44"/>
      <c r="U8" s="47"/>
      <c r="V8" s="15"/>
      <c r="W8" s="15"/>
      <c r="X8" s="15"/>
      <c r="Y8" s="15"/>
      <c r="Z8" s="15"/>
    </row>
    <row r="9" spans="1:26" ht="22.5" customHeight="1">
      <c r="A9" s="57"/>
      <c r="B9" s="58"/>
      <c r="C9" s="58"/>
      <c r="D9" s="58"/>
      <c r="E9" s="60"/>
      <c r="F9" s="62"/>
      <c r="G9" s="62"/>
      <c r="H9" s="63"/>
      <c r="I9" s="26">
        <v>7</v>
      </c>
      <c r="J9" s="26" t="s">
        <v>797</v>
      </c>
      <c r="K9" s="26">
        <v>72</v>
      </c>
      <c r="L9" s="29" t="s">
        <v>836</v>
      </c>
      <c r="M9" s="30">
        <v>721</v>
      </c>
      <c r="N9" s="32" t="s">
        <v>838</v>
      </c>
      <c r="O9" s="56" t="s">
        <v>862</v>
      </c>
      <c r="P9" s="66" t="s">
        <v>946</v>
      </c>
      <c r="Q9" s="29"/>
      <c r="R9" s="34" t="s">
        <v>948</v>
      </c>
      <c r="S9" s="36"/>
      <c r="T9" s="44"/>
      <c r="U9" s="47"/>
      <c r="V9" s="15"/>
      <c r="W9" s="15"/>
      <c r="X9" s="15"/>
      <c r="Y9" s="15"/>
      <c r="Z9" s="15"/>
    </row>
    <row r="10" spans="1:26" ht="22.5" customHeight="1">
      <c r="A10" s="57"/>
      <c r="B10" s="58"/>
      <c r="C10" s="58"/>
      <c r="D10" s="58"/>
      <c r="E10" s="60"/>
      <c r="F10" s="62"/>
      <c r="G10" s="62"/>
      <c r="H10" s="63"/>
      <c r="I10" s="26">
        <v>7</v>
      </c>
      <c r="J10" s="26" t="s">
        <v>797</v>
      </c>
      <c r="K10" s="26">
        <v>72</v>
      </c>
      <c r="L10" s="29" t="s">
        <v>836</v>
      </c>
      <c r="M10" s="30">
        <v>721</v>
      </c>
      <c r="N10" s="32" t="s">
        <v>838</v>
      </c>
      <c r="O10" s="56" t="s">
        <v>862</v>
      </c>
      <c r="P10" s="66" t="s">
        <v>950</v>
      </c>
      <c r="Q10" s="29"/>
      <c r="R10" s="31" t="s">
        <v>980</v>
      </c>
      <c r="S10" s="36"/>
      <c r="T10" s="44"/>
      <c r="U10" s="47"/>
      <c r="V10" s="15"/>
      <c r="W10" s="15"/>
      <c r="X10" s="15"/>
      <c r="Y10" s="15"/>
      <c r="Z10" s="15"/>
    </row>
    <row r="11" spans="1:26" ht="22.5" customHeight="1">
      <c r="A11" s="57"/>
      <c r="B11" s="58"/>
      <c r="C11" s="58"/>
      <c r="D11" s="58"/>
      <c r="E11" s="60"/>
      <c r="F11" s="62"/>
      <c r="G11" s="62"/>
      <c r="H11" s="63"/>
      <c r="I11" s="26">
        <v>7</v>
      </c>
      <c r="J11" s="26" t="s">
        <v>797</v>
      </c>
      <c r="K11" s="26">
        <v>72</v>
      </c>
      <c r="L11" s="29" t="s">
        <v>836</v>
      </c>
      <c r="M11" s="30">
        <v>721</v>
      </c>
      <c r="N11" s="32" t="s">
        <v>838</v>
      </c>
      <c r="O11" s="56" t="s">
        <v>862</v>
      </c>
      <c r="P11" s="66" t="s">
        <v>1020</v>
      </c>
      <c r="Q11" s="29"/>
      <c r="R11" s="34" t="s">
        <v>1022</v>
      </c>
      <c r="S11" s="36"/>
      <c r="T11" s="44"/>
      <c r="U11" s="47"/>
      <c r="V11" s="15"/>
      <c r="W11" s="15"/>
      <c r="X11" s="15"/>
      <c r="Y11" s="15"/>
      <c r="Z11" s="15"/>
    </row>
    <row r="12" spans="1:26" ht="22.5" customHeight="1">
      <c r="A12" s="57"/>
      <c r="B12" s="58"/>
      <c r="C12" s="57"/>
      <c r="D12" s="58"/>
      <c r="E12" s="65"/>
      <c r="F12" s="65"/>
      <c r="G12" s="62"/>
      <c r="H12" s="63"/>
      <c r="I12" s="26">
        <v>7</v>
      </c>
      <c r="J12" s="26" t="s">
        <v>797</v>
      </c>
      <c r="K12" s="26">
        <v>72</v>
      </c>
      <c r="L12" s="29" t="s">
        <v>836</v>
      </c>
      <c r="M12" s="31">
        <v>722</v>
      </c>
      <c r="N12" s="31" t="s">
        <v>1028</v>
      </c>
      <c r="O12" s="56" t="s">
        <v>1029</v>
      </c>
      <c r="P12" s="33" t="s">
        <v>1030</v>
      </c>
      <c r="Q12" s="40" t="s">
        <v>1030</v>
      </c>
      <c r="R12" s="31" t="s">
        <v>1031</v>
      </c>
      <c r="S12" s="36"/>
      <c r="T12" s="44"/>
      <c r="U12" s="47"/>
      <c r="V12" s="15"/>
      <c r="W12" s="15"/>
      <c r="X12" s="15"/>
      <c r="Y12" s="15"/>
      <c r="Z12" s="15"/>
    </row>
    <row r="13" spans="1:26" ht="22.5" customHeight="1">
      <c r="A13" s="57"/>
      <c r="B13" s="58"/>
      <c r="C13" s="58"/>
      <c r="D13" s="58"/>
      <c r="E13" s="60"/>
      <c r="F13" s="62"/>
      <c r="G13" s="62"/>
      <c r="H13" s="63"/>
      <c r="I13" s="26">
        <v>7</v>
      </c>
      <c r="J13" s="26" t="s">
        <v>797</v>
      </c>
      <c r="K13" s="26">
        <v>72</v>
      </c>
      <c r="L13" s="29" t="s">
        <v>836</v>
      </c>
      <c r="M13" s="30">
        <v>722</v>
      </c>
      <c r="N13" s="32" t="s">
        <v>1028</v>
      </c>
      <c r="O13" s="56" t="s">
        <v>1029</v>
      </c>
      <c r="P13" s="33" t="s">
        <v>1055</v>
      </c>
      <c r="Q13" s="40" t="s">
        <v>1064</v>
      </c>
      <c r="R13" s="34" t="s">
        <v>1065</v>
      </c>
      <c r="S13" s="36"/>
      <c r="T13" s="44"/>
      <c r="U13" s="47"/>
      <c r="V13" s="15"/>
      <c r="W13" s="15"/>
      <c r="X13" s="15"/>
      <c r="Y13" s="15"/>
      <c r="Z13" s="15"/>
    </row>
    <row r="14" spans="1:26" ht="22.5" customHeight="1">
      <c r="A14" s="57"/>
      <c r="B14" s="58"/>
      <c r="C14" s="57"/>
      <c r="D14" s="58"/>
      <c r="E14" s="65"/>
      <c r="F14" s="65"/>
      <c r="G14" s="62"/>
      <c r="H14" s="63"/>
      <c r="I14" s="26">
        <v>7</v>
      </c>
      <c r="J14" s="26" t="s">
        <v>797</v>
      </c>
      <c r="K14" s="26">
        <v>72</v>
      </c>
      <c r="L14" s="29" t="s">
        <v>836</v>
      </c>
      <c r="M14" s="31">
        <v>722</v>
      </c>
      <c r="N14" s="31" t="s">
        <v>1028</v>
      </c>
      <c r="O14" s="56" t="s">
        <v>1029</v>
      </c>
      <c r="P14" s="33" t="s">
        <v>1074</v>
      </c>
      <c r="Q14" s="40" t="s">
        <v>1064</v>
      </c>
      <c r="R14" s="34" t="s">
        <v>1065</v>
      </c>
      <c r="S14" s="36"/>
      <c r="T14" s="44"/>
      <c r="U14" s="47"/>
      <c r="V14" s="15"/>
      <c r="W14" s="15"/>
      <c r="X14" s="15"/>
      <c r="Y14" s="15"/>
      <c r="Z14" s="15"/>
    </row>
    <row r="15" spans="1:26" ht="22.5" customHeight="1">
      <c r="A15" s="57"/>
      <c r="B15" s="58"/>
      <c r="C15" s="58"/>
      <c r="D15" s="58"/>
      <c r="E15" s="60"/>
      <c r="F15" s="62"/>
      <c r="G15" s="62"/>
      <c r="H15" s="63"/>
      <c r="I15" s="26">
        <v>7</v>
      </c>
      <c r="J15" s="26" t="s">
        <v>797</v>
      </c>
      <c r="K15" s="26">
        <v>72</v>
      </c>
      <c r="L15" s="29" t="s">
        <v>836</v>
      </c>
      <c r="M15" s="30">
        <v>722</v>
      </c>
      <c r="N15" s="32" t="s">
        <v>1028</v>
      </c>
      <c r="O15" s="56" t="s">
        <v>1029</v>
      </c>
      <c r="P15" s="33" t="s">
        <v>1081</v>
      </c>
      <c r="Q15" s="29"/>
      <c r="R15" s="31" t="s">
        <v>1082</v>
      </c>
      <c r="S15" s="31"/>
      <c r="T15" s="44"/>
      <c r="U15" s="47"/>
      <c r="V15" s="15"/>
      <c r="W15" s="15"/>
      <c r="X15" s="15"/>
      <c r="Y15" s="15"/>
      <c r="Z15" s="15"/>
    </row>
    <row r="16" spans="1:26" ht="22.5" customHeight="1">
      <c r="A16" s="57"/>
      <c r="B16" s="58"/>
      <c r="C16" s="58"/>
      <c r="D16" s="58"/>
      <c r="E16" s="60"/>
      <c r="F16" s="62"/>
      <c r="G16" s="62"/>
      <c r="H16" s="63"/>
      <c r="I16" s="26">
        <v>7</v>
      </c>
      <c r="J16" s="26" t="s">
        <v>797</v>
      </c>
      <c r="K16" s="26">
        <v>72</v>
      </c>
      <c r="L16" s="29" t="s">
        <v>836</v>
      </c>
      <c r="M16" s="30">
        <v>722</v>
      </c>
      <c r="N16" s="32" t="s">
        <v>1028</v>
      </c>
      <c r="O16" s="56" t="s">
        <v>1029</v>
      </c>
      <c r="P16" s="33" t="s">
        <v>1101</v>
      </c>
      <c r="Q16" s="29"/>
      <c r="R16" s="31" t="s">
        <v>1082</v>
      </c>
      <c r="S16" s="31"/>
      <c r="T16" s="44"/>
      <c r="U16" s="47"/>
      <c r="V16" s="15"/>
      <c r="W16" s="15"/>
      <c r="X16" s="15"/>
      <c r="Y16" s="15"/>
      <c r="Z16" s="15"/>
    </row>
    <row r="17" spans="1:26" ht="22.5" customHeight="1">
      <c r="A17" s="57"/>
      <c r="B17" s="58"/>
      <c r="C17" s="58"/>
      <c r="D17" s="58"/>
      <c r="E17" s="60"/>
      <c r="F17" s="62"/>
      <c r="G17" s="62"/>
      <c r="H17" s="74"/>
      <c r="I17" s="26">
        <v>7</v>
      </c>
      <c r="J17" s="26" t="s">
        <v>797</v>
      </c>
      <c r="K17" s="26">
        <v>72</v>
      </c>
      <c r="L17" s="29" t="s">
        <v>836</v>
      </c>
      <c r="M17" s="31">
        <v>725</v>
      </c>
      <c r="N17" s="34" t="s">
        <v>1106</v>
      </c>
      <c r="O17" s="56" t="s">
        <v>1107</v>
      </c>
      <c r="P17" s="33" t="s">
        <v>1108</v>
      </c>
      <c r="Q17" s="32"/>
      <c r="R17" s="31" t="s">
        <v>1110</v>
      </c>
      <c r="S17" s="36"/>
      <c r="T17" s="44"/>
      <c r="U17" s="47"/>
      <c r="V17" s="15"/>
      <c r="W17" s="15"/>
      <c r="X17" s="15"/>
      <c r="Y17" s="15"/>
      <c r="Z17" s="15"/>
    </row>
    <row r="18" spans="1:26" ht="22.5" customHeight="1">
      <c r="A18" s="57"/>
      <c r="B18" s="58"/>
      <c r="C18" s="57"/>
      <c r="D18" s="58"/>
      <c r="E18" s="65"/>
      <c r="F18" s="65"/>
      <c r="G18" s="62"/>
      <c r="H18" s="63"/>
      <c r="I18" s="26">
        <v>7</v>
      </c>
      <c r="J18" s="26" t="s">
        <v>797</v>
      </c>
      <c r="K18" s="26">
        <v>72</v>
      </c>
      <c r="L18" s="29" t="s">
        <v>836</v>
      </c>
      <c r="M18" s="30">
        <v>729</v>
      </c>
      <c r="N18" s="32" t="s">
        <v>1113</v>
      </c>
      <c r="O18" s="32" t="s">
        <v>801</v>
      </c>
      <c r="P18" s="66" t="s">
        <v>1115</v>
      </c>
      <c r="Q18" s="29"/>
      <c r="R18" s="31" t="s">
        <v>1116</v>
      </c>
      <c r="S18" s="42"/>
      <c r="T18" s="44"/>
      <c r="U18" s="47"/>
      <c r="V18" s="15"/>
      <c r="W18" s="15"/>
      <c r="X18" s="15"/>
      <c r="Y18" s="15"/>
      <c r="Z18" s="15"/>
    </row>
    <row r="19" spans="1:26" ht="22.5" customHeight="1">
      <c r="A19" s="57"/>
      <c r="B19" s="58"/>
      <c r="C19" s="58"/>
      <c r="D19" s="58"/>
      <c r="E19" s="60"/>
      <c r="F19" s="62"/>
      <c r="G19" s="62"/>
      <c r="H19" s="63"/>
      <c r="I19" s="26">
        <v>7</v>
      </c>
      <c r="J19" s="26" t="s">
        <v>797</v>
      </c>
      <c r="K19" s="26">
        <v>72</v>
      </c>
      <c r="L19" s="29" t="s">
        <v>836</v>
      </c>
      <c r="M19" s="30">
        <v>729</v>
      </c>
      <c r="N19" s="32" t="s">
        <v>1113</v>
      </c>
      <c r="O19" s="32" t="s">
        <v>801</v>
      </c>
      <c r="P19" s="66" t="s">
        <v>1121</v>
      </c>
      <c r="Q19" s="29"/>
      <c r="R19" s="31" t="s">
        <v>1136</v>
      </c>
      <c r="S19" s="48"/>
      <c r="T19" s="44"/>
      <c r="U19" s="47"/>
      <c r="V19" s="15"/>
      <c r="W19" s="15"/>
      <c r="X19" s="15"/>
      <c r="Y19" s="15"/>
      <c r="Z19" s="15"/>
    </row>
    <row r="20" spans="1:26" ht="22.5" customHeight="1">
      <c r="A20" s="57"/>
      <c r="B20" s="58"/>
      <c r="C20" s="58"/>
      <c r="D20" s="58"/>
      <c r="E20" s="60"/>
      <c r="F20" s="62"/>
      <c r="G20" s="62"/>
      <c r="H20" s="63"/>
      <c r="I20" s="26">
        <v>7</v>
      </c>
      <c r="J20" s="26" t="s">
        <v>797</v>
      </c>
      <c r="K20" s="26">
        <v>72</v>
      </c>
      <c r="L20" s="29" t="s">
        <v>836</v>
      </c>
      <c r="M20" s="31">
        <v>729</v>
      </c>
      <c r="N20" s="31" t="s">
        <v>1113</v>
      </c>
      <c r="O20" s="32" t="s">
        <v>801</v>
      </c>
      <c r="P20" s="33" t="s">
        <v>1149</v>
      </c>
      <c r="Q20" s="29"/>
      <c r="R20" s="31" t="s">
        <v>1150</v>
      </c>
      <c r="S20" s="48"/>
      <c r="T20" s="44"/>
      <c r="U20" s="47"/>
      <c r="V20" s="15"/>
      <c r="W20" s="15"/>
      <c r="X20" s="15"/>
      <c r="Y20" s="15"/>
      <c r="Z20" s="15"/>
    </row>
    <row r="21" spans="1:26" ht="22.5" customHeight="1">
      <c r="A21" s="57"/>
      <c r="B21" s="58"/>
      <c r="C21" s="57"/>
      <c r="D21" s="58"/>
      <c r="E21" s="65"/>
      <c r="F21" s="65"/>
      <c r="G21" s="62"/>
      <c r="H21" s="63"/>
      <c r="I21" s="26">
        <v>7</v>
      </c>
      <c r="J21" s="26" t="s">
        <v>797</v>
      </c>
      <c r="K21" s="26">
        <v>73</v>
      </c>
      <c r="L21" s="29" t="s">
        <v>1154</v>
      </c>
      <c r="M21" s="30">
        <v>731</v>
      </c>
      <c r="N21" s="32" t="s">
        <v>1156</v>
      </c>
      <c r="O21" s="56" t="s">
        <v>1158</v>
      </c>
      <c r="P21" s="33" t="s">
        <v>1161</v>
      </c>
      <c r="Q21" s="29"/>
      <c r="R21" s="31" t="s">
        <v>1162</v>
      </c>
      <c r="S21" s="48"/>
      <c r="T21" s="44"/>
      <c r="U21" s="47"/>
      <c r="V21" s="15"/>
      <c r="W21" s="15"/>
      <c r="X21" s="15"/>
      <c r="Y21" s="15"/>
      <c r="Z21" s="15"/>
    </row>
    <row r="22" spans="1:26" ht="22.5" customHeight="1">
      <c r="A22" s="57"/>
      <c r="B22" s="58"/>
      <c r="C22" s="58"/>
      <c r="D22" s="58"/>
      <c r="E22" s="60"/>
      <c r="F22" s="62"/>
      <c r="G22" s="62"/>
      <c r="H22" s="63"/>
      <c r="I22" s="26">
        <v>7</v>
      </c>
      <c r="J22" s="26" t="s">
        <v>797</v>
      </c>
      <c r="K22" s="26">
        <v>73</v>
      </c>
      <c r="L22" s="29" t="s">
        <v>1154</v>
      </c>
      <c r="M22" s="30">
        <v>731</v>
      </c>
      <c r="N22" s="32" t="s">
        <v>1156</v>
      </c>
      <c r="O22" s="56" t="s">
        <v>1158</v>
      </c>
      <c r="P22" s="33" t="s">
        <v>1167</v>
      </c>
      <c r="Q22" s="40" t="s">
        <v>1168</v>
      </c>
      <c r="R22" s="31"/>
      <c r="S22" s="48"/>
      <c r="T22" s="44"/>
      <c r="U22" s="47"/>
      <c r="V22" s="15"/>
      <c r="W22" s="15"/>
      <c r="X22" s="15"/>
      <c r="Y22" s="15"/>
      <c r="Z22" s="15"/>
    </row>
    <row r="23" spans="1:26" ht="22.5" customHeight="1">
      <c r="A23" s="57"/>
      <c r="B23" s="58"/>
      <c r="C23" s="58"/>
      <c r="D23" s="58"/>
      <c r="E23" s="60"/>
      <c r="F23" s="62"/>
      <c r="G23" s="62"/>
      <c r="H23" s="63"/>
      <c r="I23" s="26">
        <v>7</v>
      </c>
      <c r="J23" s="26" t="s">
        <v>797</v>
      </c>
      <c r="K23" s="26">
        <v>73</v>
      </c>
      <c r="L23" s="29" t="s">
        <v>1154</v>
      </c>
      <c r="M23" s="30">
        <v>731</v>
      </c>
      <c r="N23" s="32" t="s">
        <v>1156</v>
      </c>
      <c r="O23" s="56" t="s">
        <v>1158</v>
      </c>
      <c r="P23" s="33" t="s">
        <v>1169</v>
      </c>
      <c r="Q23" s="40"/>
      <c r="R23" s="31"/>
      <c r="S23" s="48"/>
      <c r="T23" s="44"/>
      <c r="U23" s="47"/>
      <c r="V23" s="15"/>
      <c r="W23" s="15"/>
      <c r="X23" s="15"/>
      <c r="Y23" s="15"/>
      <c r="Z23" s="15"/>
    </row>
    <row r="24" spans="1:26" ht="22.5" customHeight="1">
      <c r="A24" s="57"/>
      <c r="B24" s="58"/>
      <c r="C24" s="58"/>
      <c r="D24" s="58"/>
      <c r="E24" s="60"/>
      <c r="F24" s="62"/>
      <c r="G24" s="62"/>
      <c r="H24" s="63"/>
      <c r="I24" s="26">
        <v>7</v>
      </c>
      <c r="J24" s="26" t="s">
        <v>797</v>
      </c>
      <c r="K24" s="26">
        <v>73</v>
      </c>
      <c r="L24" s="29" t="s">
        <v>1154</v>
      </c>
      <c r="M24" s="30">
        <v>731</v>
      </c>
      <c r="N24" s="32" t="s">
        <v>1156</v>
      </c>
      <c r="O24" s="56" t="s">
        <v>1158</v>
      </c>
      <c r="P24" s="33" t="s">
        <v>1174</v>
      </c>
      <c r="Q24" s="29"/>
      <c r="R24" s="31"/>
      <c r="S24" s="48"/>
      <c r="T24" s="44"/>
      <c r="U24" s="47"/>
      <c r="V24" s="15"/>
      <c r="W24" s="15"/>
      <c r="X24" s="15"/>
      <c r="Y24" s="15"/>
      <c r="Z24" s="15"/>
    </row>
    <row r="25" spans="1:26" ht="22.5" customHeight="1">
      <c r="A25" s="57"/>
      <c r="B25" s="58"/>
      <c r="C25" s="58"/>
      <c r="D25" s="58"/>
      <c r="E25" s="60"/>
      <c r="F25" s="62"/>
      <c r="G25" s="62"/>
      <c r="H25" s="63"/>
      <c r="I25" s="26">
        <v>7</v>
      </c>
      <c r="J25" s="26" t="s">
        <v>797</v>
      </c>
      <c r="K25" s="26">
        <v>73</v>
      </c>
      <c r="L25" s="29" t="s">
        <v>1154</v>
      </c>
      <c r="M25" s="30">
        <v>731</v>
      </c>
      <c r="N25" s="32" t="s">
        <v>1156</v>
      </c>
      <c r="O25" s="56" t="s">
        <v>1158</v>
      </c>
      <c r="P25" s="33" t="s">
        <v>1177</v>
      </c>
      <c r="Q25" s="29"/>
      <c r="R25" s="31"/>
      <c r="S25" s="48"/>
      <c r="T25" s="44"/>
      <c r="U25" s="47"/>
      <c r="V25" s="15"/>
      <c r="W25" s="15"/>
      <c r="X25" s="15"/>
      <c r="Y25" s="15"/>
      <c r="Z25" s="15"/>
    </row>
    <row r="26" spans="1:26" ht="22.5" customHeight="1">
      <c r="A26" s="57"/>
      <c r="B26" s="58"/>
      <c r="C26" s="58"/>
      <c r="D26" s="58"/>
      <c r="E26" s="60"/>
      <c r="F26" s="62"/>
      <c r="G26" s="62"/>
      <c r="H26" s="63"/>
      <c r="I26" s="26">
        <v>7</v>
      </c>
      <c r="J26" s="26" t="s">
        <v>797</v>
      </c>
      <c r="K26" s="26">
        <v>73</v>
      </c>
      <c r="L26" s="29" t="s">
        <v>1154</v>
      </c>
      <c r="M26" s="30">
        <v>731</v>
      </c>
      <c r="N26" s="32" t="s">
        <v>1156</v>
      </c>
      <c r="O26" s="56" t="s">
        <v>1158</v>
      </c>
      <c r="P26" s="66" t="s">
        <v>1195</v>
      </c>
      <c r="Q26" s="29"/>
      <c r="R26" s="31"/>
      <c r="S26" s="48"/>
      <c r="T26" s="44"/>
      <c r="U26" s="47"/>
      <c r="V26" s="15"/>
      <c r="W26" s="15"/>
      <c r="X26" s="15"/>
      <c r="Y26" s="15"/>
      <c r="Z26" s="15"/>
    </row>
    <row r="27" spans="1:26" ht="22.5" customHeight="1">
      <c r="A27" s="57"/>
      <c r="B27" s="58"/>
      <c r="C27" s="58"/>
      <c r="D27" s="58"/>
      <c r="E27" s="60"/>
      <c r="F27" s="62"/>
      <c r="G27" s="62"/>
      <c r="H27" s="63"/>
      <c r="I27" s="26">
        <v>7</v>
      </c>
      <c r="J27" s="26" t="s">
        <v>797</v>
      </c>
      <c r="K27" s="26">
        <v>73</v>
      </c>
      <c r="L27" s="29" t="s">
        <v>1154</v>
      </c>
      <c r="M27" s="30">
        <v>731</v>
      </c>
      <c r="N27" s="32" t="s">
        <v>1156</v>
      </c>
      <c r="O27" s="56" t="s">
        <v>1158</v>
      </c>
      <c r="P27" s="66" t="s">
        <v>1196</v>
      </c>
      <c r="Q27" s="40"/>
      <c r="R27" s="34" t="s">
        <v>1197</v>
      </c>
      <c r="S27" s="48"/>
      <c r="T27" s="44"/>
      <c r="U27" s="47"/>
      <c r="V27" s="15"/>
      <c r="W27" s="15"/>
      <c r="X27" s="15"/>
      <c r="Y27" s="15"/>
      <c r="Z27" s="15"/>
    </row>
    <row r="28" spans="1:26" ht="22.5" customHeight="1">
      <c r="A28" s="57"/>
      <c r="B28" s="58"/>
      <c r="C28" s="58"/>
      <c r="D28" s="58"/>
      <c r="E28" s="60"/>
      <c r="F28" s="62"/>
      <c r="G28" s="62"/>
      <c r="H28" s="63"/>
      <c r="I28" s="26">
        <v>7</v>
      </c>
      <c r="J28" s="26" t="s">
        <v>797</v>
      </c>
      <c r="K28" s="26">
        <v>73</v>
      </c>
      <c r="L28" s="29" t="s">
        <v>1154</v>
      </c>
      <c r="M28" s="30">
        <v>731</v>
      </c>
      <c r="N28" s="32" t="s">
        <v>1156</v>
      </c>
      <c r="O28" s="56" t="s">
        <v>1158</v>
      </c>
      <c r="P28" s="66" t="s">
        <v>1198</v>
      </c>
      <c r="Q28" s="40"/>
      <c r="R28" s="34" t="s">
        <v>1199</v>
      </c>
      <c r="S28" s="48"/>
      <c r="T28" s="44"/>
      <c r="U28" s="84"/>
      <c r="V28" s="15"/>
      <c r="W28" s="15"/>
      <c r="X28" s="15"/>
      <c r="Y28" s="15"/>
      <c r="Z28" s="15"/>
    </row>
    <row r="29" spans="1:26" ht="22.5" customHeight="1">
      <c r="A29" s="57"/>
      <c r="B29" s="58"/>
      <c r="C29" s="58"/>
      <c r="D29" s="58"/>
      <c r="E29" s="60"/>
      <c r="F29" s="62"/>
      <c r="G29" s="62"/>
      <c r="H29" s="63"/>
      <c r="I29" s="26">
        <v>7</v>
      </c>
      <c r="J29" s="26" t="s">
        <v>797</v>
      </c>
      <c r="K29" s="26">
        <v>73</v>
      </c>
      <c r="L29" s="29" t="s">
        <v>1154</v>
      </c>
      <c r="M29" s="30">
        <v>731</v>
      </c>
      <c r="N29" s="32" t="s">
        <v>1156</v>
      </c>
      <c r="O29" s="56" t="s">
        <v>1158</v>
      </c>
      <c r="P29" s="66" t="s">
        <v>1210</v>
      </c>
      <c r="Q29" s="29"/>
      <c r="R29" s="31" t="s">
        <v>1211</v>
      </c>
      <c r="S29" s="42"/>
      <c r="T29" s="44"/>
      <c r="U29" s="84"/>
      <c r="V29" s="15"/>
      <c r="W29" s="15"/>
      <c r="X29" s="15"/>
      <c r="Y29" s="15"/>
      <c r="Z29" s="15"/>
    </row>
    <row r="30" spans="1:26" ht="30" customHeight="1">
      <c r="A30" s="57"/>
      <c r="B30" s="58"/>
      <c r="C30" s="58"/>
      <c r="D30" s="58"/>
      <c r="E30" s="60"/>
      <c r="F30" s="62"/>
      <c r="G30" s="62"/>
      <c r="H30" s="63"/>
      <c r="I30" s="26">
        <v>7</v>
      </c>
      <c r="J30" s="26" t="s">
        <v>797</v>
      </c>
      <c r="K30" s="26">
        <v>73</v>
      </c>
      <c r="L30" s="29" t="s">
        <v>1154</v>
      </c>
      <c r="M30" s="30">
        <v>731</v>
      </c>
      <c r="N30" s="32" t="s">
        <v>1156</v>
      </c>
      <c r="O30" s="56" t="s">
        <v>1158</v>
      </c>
      <c r="P30" s="33" t="s">
        <v>1212</v>
      </c>
      <c r="Q30" s="29"/>
      <c r="R30" s="31" t="s">
        <v>1213</v>
      </c>
      <c r="S30" s="48"/>
      <c r="T30" s="44"/>
      <c r="U30" s="84"/>
      <c r="V30" s="15"/>
      <c r="W30" s="15"/>
      <c r="X30" s="15"/>
      <c r="Y30" s="15"/>
      <c r="Z30" s="15"/>
    </row>
    <row r="31" spans="1:26" ht="13.5" customHeight="1">
      <c r="A31" s="57"/>
      <c r="B31" s="58"/>
      <c r="C31" s="58"/>
      <c r="D31" s="58"/>
      <c r="E31" s="60"/>
      <c r="F31" s="62"/>
      <c r="G31" s="62"/>
      <c r="H31" s="63"/>
      <c r="I31" s="26">
        <v>7</v>
      </c>
      <c r="J31" s="26" t="s">
        <v>797</v>
      </c>
      <c r="K31" s="26">
        <v>76</v>
      </c>
      <c r="L31" s="29" t="s">
        <v>1215</v>
      </c>
      <c r="M31" s="30">
        <v>762</v>
      </c>
      <c r="N31" s="32" t="s">
        <v>1216</v>
      </c>
      <c r="O31" s="56" t="s">
        <v>1217</v>
      </c>
      <c r="P31" s="33" t="s">
        <v>1218</v>
      </c>
      <c r="Q31" s="29"/>
      <c r="R31" s="31" t="s">
        <v>1219</v>
      </c>
      <c r="S31" s="36"/>
      <c r="T31" s="44"/>
      <c r="U31" s="15"/>
      <c r="V31" s="15"/>
      <c r="W31" s="15"/>
      <c r="X31" s="15"/>
      <c r="Y31" s="15"/>
      <c r="Z31" s="15"/>
    </row>
    <row r="32" spans="1:26" ht="19.5" customHeight="1">
      <c r="A32" s="57"/>
      <c r="B32" s="58"/>
      <c r="C32" s="58"/>
      <c r="D32" s="58"/>
      <c r="E32" s="60"/>
      <c r="F32" s="62"/>
      <c r="G32" s="62"/>
      <c r="H32" s="63"/>
      <c r="I32" s="26">
        <v>7</v>
      </c>
      <c r="J32" s="26" t="s">
        <v>797</v>
      </c>
      <c r="K32" s="26">
        <v>77</v>
      </c>
      <c r="L32" s="29" t="s">
        <v>1227</v>
      </c>
      <c r="M32" s="31">
        <v>772</v>
      </c>
      <c r="N32" s="31" t="s">
        <v>1229</v>
      </c>
      <c r="O32" s="56" t="s">
        <v>1235</v>
      </c>
      <c r="P32" s="33" t="s">
        <v>1229</v>
      </c>
      <c r="Q32" s="29"/>
      <c r="R32" s="31" t="s">
        <v>1238</v>
      </c>
      <c r="S32" s="36"/>
      <c r="T32" s="44"/>
      <c r="U32" s="15"/>
      <c r="V32" s="15"/>
      <c r="W32" s="15"/>
      <c r="X32" s="15"/>
      <c r="Y32" s="15"/>
      <c r="Z32" s="15"/>
    </row>
    <row r="33" spans="1:26" ht="39.75" customHeight="1">
      <c r="A33" s="57"/>
      <c r="B33" s="58"/>
      <c r="C33" s="58"/>
      <c r="D33" s="58"/>
      <c r="E33" s="60"/>
      <c r="F33" s="62"/>
      <c r="G33" s="62"/>
      <c r="H33" s="63"/>
      <c r="I33" s="26">
        <v>7</v>
      </c>
      <c r="J33" s="26" t="s">
        <v>797</v>
      </c>
      <c r="K33" s="26">
        <v>77</v>
      </c>
      <c r="L33" s="29" t="s">
        <v>1227</v>
      </c>
      <c r="M33" s="30">
        <v>773</v>
      </c>
      <c r="N33" s="32" t="s">
        <v>913</v>
      </c>
      <c r="O33" s="56" t="s">
        <v>1244</v>
      </c>
      <c r="P33" s="66" t="s">
        <v>1245</v>
      </c>
      <c r="Q33" s="29"/>
      <c r="R33" s="34" t="s">
        <v>1247</v>
      </c>
      <c r="S33" s="36"/>
      <c r="T33" s="44"/>
      <c r="U33" s="15"/>
      <c r="V33" s="15"/>
      <c r="W33" s="15"/>
      <c r="X33" s="15"/>
      <c r="Y33" s="15"/>
      <c r="Z33" s="15"/>
    </row>
    <row r="34" spans="1:26" ht="30" customHeight="1">
      <c r="A34" s="57"/>
      <c r="B34" s="58"/>
      <c r="C34" s="57"/>
      <c r="D34" s="58"/>
      <c r="E34" s="65"/>
      <c r="F34" s="65"/>
      <c r="G34" s="62"/>
      <c r="H34" s="63"/>
      <c r="I34" s="26">
        <v>7</v>
      </c>
      <c r="J34" s="26" t="s">
        <v>797</v>
      </c>
      <c r="K34" s="26">
        <v>77</v>
      </c>
      <c r="L34" s="29" t="s">
        <v>1227</v>
      </c>
      <c r="M34" s="30">
        <v>773</v>
      </c>
      <c r="N34" s="32" t="s">
        <v>913</v>
      </c>
      <c r="O34" s="56" t="s">
        <v>1244</v>
      </c>
      <c r="P34" s="33" t="s">
        <v>1252</v>
      </c>
      <c r="Q34" s="29"/>
      <c r="R34" s="31" t="s">
        <v>1254</v>
      </c>
      <c r="S34" s="36"/>
      <c r="T34" s="44"/>
      <c r="U34" s="15"/>
      <c r="V34" s="15"/>
      <c r="W34" s="15"/>
      <c r="X34" s="15"/>
      <c r="Y34" s="15"/>
      <c r="Z34" s="15"/>
    </row>
    <row r="35" spans="1:26" ht="60" customHeight="1">
      <c r="A35" s="57"/>
      <c r="B35" s="58"/>
      <c r="C35" s="58"/>
      <c r="D35" s="58"/>
      <c r="E35" s="60"/>
      <c r="F35" s="62"/>
      <c r="G35" s="62"/>
      <c r="H35" s="63"/>
      <c r="I35" s="26">
        <v>7</v>
      </c>
      <c r="J35" s="26" t="s">
        <v>797</v>
      </c>
      <c r="K35" s="26">
        <v>77</v>
      </c>
      <c r="L35" s="29" t="s">
        <v>1227</v>
      </c>
      <c r="M35" s="30">
        <v>773</v>
      </c>
      <c r="N35" s="32" t="s">
        <v>913</v>
      </c>
      <c r="O35" s="56" t="s">
        <v>1244</v>
      </c>
      <c r="P35" s="66" t="s">
        <v>1262</v>
      </c>
      <c r="Q35" s="29"/>
      <c r="R35" s="34" t="s">
        <v>1263</v>
      </c>
      <c r="S35" s="36"/>
      <c r="T35" s="44"/>
      <c r="U35" s="15"/>
      <c r="V35" s="15"/>
      <c r="W35" s="15"/>
      <c r="X35" s="15"/>
      <c r="Y35" s="15"/>
      <c r="Z35" s="15"/>
    </row>
    <row r="36" spans="1:26" ht="13.5" customHeight="1">
      <c r="A36" s="57"/>
      <c r="B36" s="58"/>
      <c r="C36" s="58"/>
      <c r="D36" s="58"/>
      <c r="E36" s="60"/>
      <c r="F36" s="62"/>
      <c r="G36" s="62"/>
      <c r="H36" s="63"/>
      <c r="I36" s="57"/>
      <c r="J36" s="75"/>
      <c r="K36" s="76"/>
      <c r="L36" s="80"/>
      <c r="M36" s="80"/>
      <c r="N36" s="82"/>
      <c r="O36" s="87"/>
      <c r="P36" s="87"/>
      <c r="Q36" s="76"/>
      <c r="R36" s="80"/>
      <c r="S36" s="79"/>
      <c r="T36" s="15"/>
      <c r="U36" s="15"/>
      <c r="V36" s="15"/>
      <c r="W36" s="15"/>
      <c r="X36" s="15"/>
      <c r="Y36" s="15"/>
      <c r="Z36" s="15"/>
    </row>
    <row r="37" spans="1:26" ht="19.5" customHeight="1">
      <c r="A37" s="57"/>
      <c r="B37" s="58"/>
      <c r="C37" s="57"/>
      <c r="D37" s="58"/>
      <c r="E37" s="65"/>
      <c r="F37" s="65"/>
      <c r="G37" s="62"/>
      <c r="H37" s="63"/>
      <c r="I37" s="57"/>
      <c r="J37" s="75"/>
      <c r="K37" s="76"/>
      <c r="L37" s="80"/>
      <c r="M37" s="80"/>
      <c r="N37" s="82"/>
      <c r="O37" s="75"/>
      <c r="P37" s="79"/>
      <c r="Q37" s="83"/>
      <c r="R37" s="83"/>
      <c r="S37" s="79"/>
      <c r="T37" s="15"/>
      <c r="U37" s="15"/>
      <c r="V37" s="15"/>
      <c r="W37" s="15"/>
      <c r="X37" s="15"/>
      <c r="Y37" s="15"/>
      <c r="Z37" s="15"/>
    </row>
    <row r="38" spans="1:26" ht="39.75" customHeight="1">
      <c r="A38" s="57"/>
      <c r="B38" s="58"/>
      <c r="C38" s="58"/>
      <c r="D38" s="58"/>
      <c r="E38" s="60"/>
      <c r="F38" s="62"/>
      <c r="G38" s="62"/>
      <c r="H38" s="63"/>
      <c r="I38" s="57"/>
      <c r="J38" s="75"/>
      <c r="K38" s="76"/>
      <c r="L38" s="80"/>
      <c r="M38" s="81"/>
      <c r="N38" s="82"/>
      <c r="O38" s="75"/>
      <c r="P38" s="79"/>
      <c r="Q38" s="83"/>
      <c r="R38" s="83"/>
      <c r="S38" s="79"/>
      <c r="T38" s="15"/>
      <c r="U38" s="15"/>
      <c r="V38" s="15"/>
      <c r="W38" s="15"/>
      <c r="X38" s="15"/>
      <c r="Y38" s="15"/>
      <c r="Z38" s="15"/>
    </row>
    <row r="39" spans="1:26" ht="19.5" customHeight="1">
      <c r="A39" s="57"/>
      <c r="B39" s="58"/>
      <c r="C39" s="58"/>
      <c r="D39" s="58"/>
      <c r="E39" s="60"/>
      <c r="F39" s="62"/>
      <c r="G39" s="62"/>
      <c r="H39" s="63"/>
      <c r="I39" s="57"/>
      <c r="J39" s="75"/>
      <c r="K39" s="76"/>
      <c r="L39" s="80"/>
      <c r="M39" s="81"/>
      <c r="N39" s="82"/>
      <c r="O39" s="75"/>
      <c r="P39" s="75"/>
      <c r="Q39" s="83"/>
      <c r="R39" s="83"/>
      <c r="S39" s="79"/>
      <c r="T39" s="15"/>
      <c r="U39" s="15"/>
      <c r="V39" s="15"/>
      <c r="W39" s="15"/>
      <c r="X39" s="15"/>
      <c r="Y39" s="15"/>
      <c r="Z39" s="15"/>
    </row>
    <row r="40" spans="1:26" ht="19.5" customHeight="1">
      <c r="A40" s="58"/>
      <c r="B40" s="58"/>
      <c r="C40" s="58"/>
      <c r="D40" s="58"/>
      <c r="E40" s="60"/>
      <c r="F40" s="62"/>
      <c r="G40" s="62"/>
      <c r="H40" s="63"/>
      <c r="I40" s="57"/>
      <c r="J40" s="75"/>
      <c r="K40" s="76"/>
      <c r="L40" s="80"/>
      <c r="M40" s="81"/>
      <c r="N40" s="82"/>
      <c r="O40" s="75"/>
      <c r="P40" s="75"/>
      <c r="Q40" s="83"/>
      <c r="R40" s="83"/>
      <c r="S40" s="79"/>
      <c r="T40" s="15"/>
      <c r="U40" s="15"/>
      <c r="V40" s="15"/>
      <c r="W40" s="15"/>
      <c r="X40" s="15"/>
      <c r="Y40" s="15"/>
      <c r="Z40" s="15"/>
    </row>
    <row r="41" spans="1:26" ht="12.75" customHeight="1">
      <c r="A41" s="47"/>
      <c r="B41" s="47"/>
      <c r="C41" s="47"/>
      <c r="D41" s="47"/>
      <c r="E41" s="47"/>
      <c r="F41" s="47"/>
      <c r="G41" s="47"/>
      <c r="H41" s="63"/>
      <c r="I41" s="57"/>
      <c r="J41" s="79"/>
      <c r="K41" s="76"/>
      <c r="L41" s="80"/>
      <c r="M41" s="81"/>
      <c r="N41" s="82"/>
      <c r="O41" s="75"/>
      <c r="P41" s="75"/>
      <c r="Q41" s="83"/>
      <c r="R41" s="83"/>
      <c r="S41" s="79"/>
      <c r="T41" s="47"/>
      <c r="U41" s="47"/>
      <c r="V41" s="47"/>
      <c r="W41" s="47"/>
      <c r="X41" s="47"/>
      <c r="Y41" s="47"/>
      <c r="Z41" s="47"/>
    </row>
    <row r="42" spans="1:26" ht="12.75" customHeight="1">
      <c r="A42" s="47"/>
      <c r="B42" s="47"/>
      <c r="C42" s="47"/>
      <c r="D42" s="47"/>
      <c r="E42" s="47"/>
      <c r="F42" s="47"/>
      <c r="G42" s="47"/>
      <c r="H42" s="63"/>
      <c r="I42" s="57"/>
      <c r="J42" s="79"/>
      <c r="K42" s="79"/>
      <c r="L42" s="80"/>
      <c r="M42" s="81"/>
      <c r="N42" s="79"/>
      <c r="O42" s="75"/>
      <c r="P42" s="75"/>
      <c r="Q42" s="83"/>
      <c r="R42" s="83"/>
      <c r="S42" s="79"/>
      <c r="T42" s="47"/>
      <c r="U42" s="47"/>
      <c r="V42" s="47"/>
      <c r="W42" s="47"/>
      <c r="X42" s="47"/>
      <c r="Y42" s="47"/>
      <c r="Z42" s="47"/>
    </row>
    <row r="43" spans="1:26" ht="12.75" customHeight="1">
      <c r="A43" s="47"/>
      <c r="B43" s="47"/>
      <c r="C43" s="47"/>
      <c r="D43" s="47"/>
      <c r="E43" s="47"/>
      <c r="F43" s="47"/>
      <c r="G43" s="47"/>
      <c r="H43" s="63"/>
      <c r="I43" s="57"/>
      <c r="J43" s="79"/>
      <c r="K43" s="79"/>
      <c r="L43" s="80"/>
      <c r="M43" s="81"/>
      <c r="N43" s="79"/>
      <c r="O43" s="79"/>
      <c r="P43" s="79"/>
      <c r="Q43" s="83"/>
      <c r="R43" s="83"/>
      <c r="S43" s="79"/>
      <c r="T43" s="47"/>
      <c r="U43" s="47"/>
      <c r="V43" s="47"/>
      <c r="W43" s="47"/>
      <c r="X43" s="47"/>
      <c r="Y43" s="47"/>
      <c r="Z43" s="47"/>
    </row>
    <row r="44" spans="1:26" ht="12.75" customHeight="1">
      <c r="A44" s="47"/>
      <c r="B44" s="47"/>
      <c r="C44" s="47"/>
      <c r="D44" s="47"/>
      <c r="E44" s="47"/>
      <c r="F44" s="47"/>
      <c r="G44" s="47"/>
      <c r="H44" s="63"/>
      <c r="I44" s="57"/>
      <c r="J44" s="79"/>
      <c r="K44" s="79"/>
      <c r="L44" s="80"/>
      <c r="M44" s="81"/>
      <c r="N44" s="79"/>
      <c r="O44" s="79"/>
      <c r="P44" s="79"/>
      <c r="Q44" s="83"/>
      <c r="R44" s="83"/>
      <c r="S44" s="79"/>
      <c r="T44" s="47"/>
      <c r="U44" s="47"/>
      <c r="V44" s="47"/>
      <c r="W44" s="47"/>
      <c r="X44" s="47"/>
      <c r="Y44" s="47"/>
      <c r="Z44" s="47"/>
    </row>
    <row r="45" spans="1:26" ht="12.75" customHeight="1">
      <c r="A45" s="47"/>
      <c r="B45" s="47"/>
      <c r="C45" s="47"/>
      <c r="D45" s="47"/>
      <c r="E45" s="47"/>
      <c r="F45" s="47"/>
      <c r="G45" s="47"/>
      <c r="H45" s="63"/>
      <c r="I45" s="57"/>
      <c r="J45" s="79"/>
      <c r="K45" s="79"/>
      <c r="L45" s="80"/>
      <c r="M45" s="81"/>
      <c r="N45" s="79"/>
      <c r="O45" s="79"/>
      <c r="P45" s="79"/>
      <c r="Q45" s="83"/>
      <c r="R45" s="83"/>
      <c r="S45" s="79"/>
      <c r="T45" s="47"/>
      <c r="U45" s="47"/>
      <c r="V45" s="47"/>
      <c r="W45" s="47"/>
      <c r="X45" s="47"/>
      <c r="Y45" s="47"/>
      <c r="Z45" s="47"/>
    </row>
    <row r="46" spans="1:26" ht="12.75" customHeight="1">
      <c r="A46" s="47"/>
      <c r="B46" s="47"/>
      <c r="C46" s="47"/>
      <c r="D46" s="47"/>
      <c r="E46" s="47"/>
      <c r="F46" s="47"/>
      <c r="G46" s="47"/>
      <c r="H46" s="63"/>
      <c r="I46" s="57"/>
      <c r="J46" s="79"/>
      <c r="K46" s="79"/>
      <c r="L46" s="80"/>
      <c r="M46" s="81"/>
      <c r="N46" s="79"/>
      <c r="O46" s="79"/>
      <c r="P46" s="79"/>
      <c r="Q46" s="83"/>
      <c r="R46" s="83"/>
      <c r="S46" s="79"/>
      <c r="T46" s="47"/>
      <c r="U46" s="47"/>
      <c r="V46" s="47"/>
      <c r="W46" s="47"/>
      <c r="X46" s="47"/>
      <c r="Y46" s="47"/>
      <c r="Z46" s="47"/>
    </row>
    <row r="47" spans="1:26" ht="12.75" customHeight="1">
      <c r="A47" s="47"/>
      <c r="B47" s="47"/>
      <c r="C47" s="47"/>
      <c r="D47" s="47"/>
      <c r="E47" s="47"/>
      <c r="F47" s="47"/>
      <c r="G47" s="47"/>
      <c r="H47" s="63"/>
      <c r="I47" s="57"/>
      <c r="J47" s="79"/>
      <c r="K47" s="79"/>
      <c r="L47" s="80"/>
      <c r="M47" s="81"/>
      <c r="N47" s="79"/>
      <c r="O47" s="79"/>
      <c r="P47" s="79"/>
      <c r="Q47" s="83"/>
      <c r="R47" s="83"/>
      <c r="S47" s="79"/>
      <c r="T47" s="47"/>
      <c r="U47" s="47"/>
      <c r="V47" s="47"/>
      <c r="W47" s="47"/>
      <c r="X47" s="47"/>
      <c r="Y47" s="47"/>
      <c r="Z47" s="47"/>
    </row>
    <row r="48" spans="1:26" ht="12.75" customHeight="1">
      <c r="A48" s="47"/>
      <c r="B48" s="47"/>
      <c r="C48" s="47"/>
      <c r="D48" s="47"/>
      <c r="E48" s="47"/>
      <c r="F48" s="47"/>
      <c r="G48" s="47"/>
      <c r="H48" s="63"/>
      <c r="I48" s="57"/>
      <c r="J48" s="79"/>
      <c r="K48" s="79"/>
      <c r="L48" s="80"/>
      <c r="M48" s="81"/>
      <c r="N48" s="79"/>
      <c r="O48" s="79"/>
      <c r="P48" s="79"/>
      <c r="Q48" s="83"/>
      <c r="R48" s="83"/>
      <c r="S48" s="79"/>
      <c r="T48" s="47"/>
      <c r="U48" s="47"/>
      <c r="V48" s="47"/>
      <c r="W48" s="47"/>
      <c r="X48" s="47"/>
      <c r="Y48" s="47"/>
      <c r="Z48" s="47"/>
    </row>
    <row r="49" spans="1:26" ht="12.75" customHeight="1">
      <c r="A49" s="47"/>
      <c r="B49" s="47"/>
      <c r="C49" s="47"/>
      <c r="D49" s="47"/>
      <c r="E49" s="47"/>
      <c r="F49" s="47"/>
      <c r="G49" s="47"/>
      <c r="H49" s="63"/>
      <c r="I49" s="57"/>
      <c r="J49" s="79"/>
      <c r="K49" s="79"/>
      <c r="L49" s="80"/>
      <c r="M49" s="81"/>
      <c r="N49" s="79"/>
      <c r="O49" s="79"/>
      <c r="P49" s="79"/>
      <c r="Q49" s="83"/>
      <c r="R49" s="83"/>
      <c r="S49" s="79"/>
      <c r="T49" s="47"/>
      <c r="U49" s="47"/>
      <c r="V49" s="47"/>
      <c r="W49" s="47"/>
      <c r="X49" s="47"/>
      <c r="Y49" s="47"/>
      <c r="Z49" s="47"/>
    </row>
    <row r="50" spans="1:26" ht="12.75" customHeight="1">
      <c r="A50" s="47"/>
      <c r="B50" s="47"/>
      <c r="C50" s="47"/>
      <c r="D50" s="47"/>
      <c r="E50" s="47"/>
      <c r="F50" s="47"/>
      <c r="G50" s="47"/>
      <c r="H50" s="63"/>
      <c r="I50" s="57"/>
      <c r="J50" s="79"/>
      <c r="K50" s="79"/>
      <c r="L50" s="80"/>
      <c r="M50" s="81"/>
      <c r="N50" s="79"/>
      <c r="O50" s="79"/>
      <c r="P50" s="79"/>
      <c r="Q50" s="83"/>
      <c r="R50" s="83"/>
      <c r="S50" s="79"/>
      <c r="T50" s="47"/>
      <c r="U50" s="47"/>
      <c r="V50" s="47"/>
      <c r="W50" s="47"/>
      <c r="X50" s="47"/>
      <c r="Y50" s="47"/>
      <c r="Z50" s="47"/>
    </row>
    <row r="51" spans="1:26" ht="12.75" customHeight="1">
      <c r="A51" s="47"/>
      <c r="B51" s="47"/>
      <c r="C51" s="47"/>
      <c r="D51" s="47"/>
      <c r="E51" s="47"/>
      <c r="F51" s="47"/>
      <c r="G51" s="47"/>
      <c r="H51" s="63"/>
      <c r="I51" s="57"/>
      <c r="J51" s="79"/>
      <c r="K51" s="79"/>
      <c r="L51" s="80"/>
      <c r="M51" s="81"/>
      <c r="N51" s="79"/>
      <c r="O51" s="79"/>
      <c r="P51" s="79"/>
      <c r="Q51" s="83"/>
      <c r="R51" s="83"/>
      <c r="S51" s="79"/>
      <c r="T51" s="47"/>
      <c r="U51" s="47"/>
      <c r="V51" s="47"/>
      <c r="W51" s="47"/>
      <c r="X51" s="47"/>
      <c r="Y51" s="47"/>
      <c r="Z51" s="47"/>
    </row>
    <row r="52" spans="1:26" ht="12.75" customHeight="1">
      <c r="A52" s="47"/>
      <c r="B52" s="47"/>
      <c r="C52" s="47"/>
      <c r="D52" s="47"/>
      <c r="E52" s="47"/>
      <c r="F52" s="47"/>
      <c r="G52" s="47"/>
      <c r="H52" s="63"/>
      <c r="I52" s="57"/>
      <c r="J52" s="79"/>
      <c r="K52" s="79"/>
      <c r="L52" s="80"/>
      <c r="M52" s="81"/>
      <c r="N52" s="79"/>
      <c r="O52" s="79"/>
      <c r="P52" s="79"/>
      <c r="Q52" s="83"/>
      <c r="R52" s="83"/>
      <c r="S52" s="79"/>
      <c r="T52" s="47"/>
      <c r="U52" s="47"/>
      <c r="V52" s="47"/>
      <c r="W52" s="47"/>
      <c r="X52" s="47"/>
      <c r="Y52" s="47"/>
      <c r="Z52" s="47"/>
    </row>
    <row r="53" spans="1:26" ht="12.75" customHeight="1">
      <c r="A53" s="47"/>
      <c r="B53" s="47"/>
      <c r="C53" s="47"/>
      <c r="D53" s="47"/>
      <c r="E53" s="47"/>
      <c r="F53" s="47"/>
      <c r="G53" s="47"/>
      <c r="H53" s="63"/>
      <c r="I53" s="57"/>
      <c r="J53" s="79"/>
      <c r="K53" s="79"/>
      <c r="L53" s="80"/>
      <c r="M53" s="81"/>
      <c r="N53" s="79"/>
      <c r="O53" s="79"/>
      <c r="P53" s="79"/>
      <c r="Q53" s="83"/>
      <c r="R53" s="83"/>
      <c r="S53" s="79"/>
      <c r="T53" s="47"/>
      <c r="U53" s="47"/>
      <c r="V53" s="47"/>
      <c r="W53" s="47"/>
      <c r="X53" s="47"/>
      <c r="Y53" s="47"/>
      <c r="Z53" s="47"/>
    </row>
    <row r="54" spans="1:26" ht="12.75" customHeight="1">
      <c r="A54" s="47"/>
      <c r="B54" s="47"/>
      <c r="C54" s="47"/>
      <c r="D54" s="47"/>
      <c r="E54" s="47"/>
      <c r="F54" s="47"/>
      <c r="G54" s="47"/>
      <c r="H54" s="63"/>
      <c r="I54" s="57"/>
      <c r="J54" s="79"/>
      <c r="K54" s="79"/>
      <c r="L54" s="80"/>
      <c r="M54" s="81"/>
      <c r="N54" s="79"/>
      <c r="O54" s="79"/>
      <c r="P54" s="79"/>
      <c r="Q54" s="83"/>
      <c r="R54" s="83"/>
      <c r="S54" s="79"/>
      <c r="T54" s="47"/>
      <c r="U54" s="47"/>
      <c r="V54" s="47"/>
      <c r="W54" s="47"/>
      <c r="X54" s="47"/>
      <c r="Y54" s="47"/>
      <c r="Z54" s="47"/>
    </row>
    <row r="55" spans="1:26" ht="12.75" customHeight="1">
      <c r="A55" s="47"/>
      <c r="B55" s="47"/>
      <c r="C55" s="47"/>
      <c r="D55" s="47"/>
      <c r="E55" s="47"/>
      <c r="F55" s="47"/>
      <c r="G55" s="47"/>
      <c r="H55" s="63"/>
      <c r="I55" s="57"/>
      <c r="J55" s="79"/>
      <c r="K55" s="79"/>
      <c r="L55" s="80"/>
      <c r="M55" s="81"/>
      <c r="N55" s="79"/>
      <c r="O55" s="79"/>
      <c r="P55" s="79"/>
      <c r="Q55" s="83"/>
      <c r="R55" s="83"/>
      <c r="S55" s="79"/>
      <c r="T55" s="47"/>
      <c r="U55" s="47"/>
      <c r="V55" s="47"/>
      <c r="W55" s="47"/>
      <c r="X55" s="47"/>
      <c r="Y55" s="47"/>
      <c r="Z55" s="47"/>
    </row>
    <row r="56" spans="1:26" ht="12.75" customHeight="1">
      <c r="A56" s="47"/>
      <c r="B56" s="47"/>
      <c r="C56" s="47"/>
      <c r="D56" s="47"/>
      <c r="E56" s="47"/>
      <c r="F56" s="47"/>
      <c r="G56" s="47"/>
      <c r="H56" s="63"/>
      <c r="I56" s="57"/>
      <c r="J56" s="79"/>
      <c r="K56" s="79"/>
      <c r="L56" s="80"/>
      <c r="M56" s="81"/>
      <c r="N56" s="79"/>
      <c r="O56" s="79"/>
      <c r="P56" s="79"/>
      <c r="Q56" s="83"/>
      <c r="R56" s="83"/>
      <c r="S56" s="79"/>
      <c r="T56" s="47"/>
      <c r="U56" s="47"/>
      <c r="V56" s="47"/>
      <c r="W56" s="47"/>
      <c r="X56" s="47"/>
      <c r="Y56" s="47"/>
      <c r="Z56" s="47"/>
    </row>
    <row r="57" spans="1:26" ht="12.75" customHeight="1">
      <c r="A57" s="47"/>
      <c r="B57" s="47"/>
      <c r="C57" s="47"/>
      <c r="D57" s="47"/>
      <c r="E57" s="47"/>
      <c r="F57" s="47"/>
      <c r="G57" s="47"/>
      <c r="H57" s="63"/>
      <c r="I57" s="57"/>
      <c r="J57" s="79"/>
      <c r="K57" s="79"/>
      <c r="L57" s="80"/>
      <c r="M57" s="81"/>
      <c r="N57" s="79"/>
      <c r="O57" s="79"/>
      <c r="P57" s="79"/>
      <c r="Q57" s="83"/>
      <c r="R57" s="83"/>
      <c r="S57" s="79"/>
      <c r="T57" s="47"/>
      <c r="U57" s="47"/>
      <c r="V57" s="47"/>
      <c r="W57" s="47"/>
      <c r="X57" s="47"/>
      <c r="Y57" s="47"/>
      <c r="Z57" s="47"/>
    </row>
    <row r="58" spans="1:26" ht="12.75" customHeight="1">
      <c r="A58" s="47"/>
      <c r="B58" s="47"/>
      <c r="C58" s="47"/>
      <c r="D58" s="47"/>
      <c r="E58" s="47"/>
      <c r="F58" s="47"/>
      <c r="G58" s="47"/>
      <c r="H58" s="63"/>
      <c r="I58" s="57"/>
      <c r="J58" s="79"/>
      <c r="K58" s="79"/>
      <c r="L58" s="80"/>
      <c r="M58" s="81"/>
      <c r="N58" s="79"/>
      <c r="O58" s="79"/>
      <c r="P58" s="79"/>
      <c r="Q58" s="83"/>
      <c r="R58" s="83"/>
      <c r="S58" s="79"/>
      <c r="T58" s="47"/>
      <c r="U58" s="47"/>
      <c r="V58" s="47"/>
      <c r="W58" s="47"/>
      <c r="X58" s="47"/>
      <c r="Y58" s="47"/>
      <c r="Z58" s="47"/>
    </row>
    <row r="59" spans="1:26" ht="12.75" customHeight="1">
      <c r="A59" s="47"/>
      <c r="B59" s="47"/>
      <c r="C59" s="47"/>
      <c r="D59" s="47"/>
      <c r="E59" s="47"/>
      <c r="F59" s="47"/>
      <c r="G59" s="47"/>
      <c r="H59" s="63"/>
      <c r="I59" s="57"/>
      <c r="J59" s="79"/>
      <c r="K59" s="79"/>
      <c r="L59" s="80"/>
      <c r="M59" s="81"/>
      <c r="N59" s="79"/>
      <c r="O59" s="79"/>
      <c r="P59" s="79"/>
      <c r="Q59" s="83"/>
      <c r="R59" s="83"/>
      <c r="S59" s="79"/>
      <c r="T59" s="47"/>
      <c r="U59" s="47"/>
      <c r="V59" s="47"/>
      <c r="W59" s="47"/>
      <c r="X59" s="47"/>
      <c r="Y59" s="47"/>
      <c r="Z59" s="47"/>
    </row>
    <row r="60" spans="1:26" ht="12.75" customHeight="1">
      <c r="A60" s="47"/>
      <c r="B60" s="47"/>
      <c r="C60" s="47"/>
      <c r="D60" s="47"/>
      <c r="E60" s="47"/>
      <c r="F60" s="47"/>
      <c r="G60" s="47"/>
      <c r="H60" s="63"/>
      <c r="I60" s="57"/>
      <c r="J60" s="79"/>
      <c r="K60" s="79"/>
      <c r="L60" s="80"/>
      <c r="M60" s="81"/>
      <c r="N60" s="79"/>
      <c r="O60" s="79"/>
      <c r="P60" s="79"/>
      <c r="Q60" s="83"/>
      <c r="R60" s="83"/>
      <c r="S60" s="79"/>
      <c r="T60" s="47"/>
      <c r="U60" s="47"/>
      <c r="V60" s="47"/>
      <c r="W60" s="47"/>
      <c r="X60" s="47"/>
      <c r="Y60" s="47"/>
      <c r="Z60" s="47"/>
    </row>
    <row r="61" spans="1:26" ht="12.75" customHeight="1">
      <c r="A61" s="47"/>
      <c r="B61" s="47"/>
      <c r="C61" s="47"/>
      <c r="D61" s="47"/>
      <c r="E61" s="47"/>
      <c r="F61" s="47"/>
      <c r="G61" s="47"/>
      <c r="H61" s="63"/>
      <c r="I61" s="57"/>
      <c r="J61" s="79"/>
      <c r="K61" s="79"/>
      <c r="L61" s="80"/>
      <c r="M61" s="81"/>
      <c r="N61" s="79"/>
      <c r="O61" s="79"/>
      <c r="P61" s="79"/>
      <c r="Q61" s="83"/>
      <c r="R61" s="83"/>
      <c r="S61" s="79"/>
      <c r="T61" s="47"/>
      <c r="U61" s="47"/>
      <c r="V61" s="47"/>
      <c r="W61" s="47"/>
      <c r="X61" s="47"/>
      <c r="Y61" s="47"/>
      <c r="Z61" s="47"/>
    </row>
    <row r="62" spans="1:26" ht="12.75" customHeight="1">
      <c r="A62" s="47"/>
      <c r="B62" s="47"/>
      <c r="C62" s="47"/>
      <c r="D62" s="47"/>
      <c r="E62" s="47"/>
      <c r="F62" s="47"/>
      <c r="G62" s="47"/>
      <c r="H62" s="63"/>
      <c r="I62" s="57"/>
      <c r="J62" s="79"/>
      <c r="K62" s="79"/>
      <c r="L62" s="80"/>
      <c r="M62" s="81"/>
      <c r="N62" s="79"/>
      <c r="O62" s="79"/>
      <c r="P62" s="79"/>
      <c r="Q62" s="83"/>
      <c r="R62" s="83"/>
      <c r="S62" s="79"/>
      <c r="T62" s="47"/>
      <c r="U62" s="47"/>
      <c r="V62" s="47"/>
      <c r="W62" s="47"/>
      <c r="X62" s="47"/>
      <c r="Y62" s="47"/>
      <c r="Z62" s="47"/>
    </row>
    <row r="63" spans="1:26" ht="12.75" customHeight="1">
      <c r="A63" s="47"/>
      <c r="B63" s="47"/>
      <c r="C63" s="47"/>
      <c r="D63" s="47"/>
      <c r="E63" s="47"/>
      <c r="F63" s="47"/>
      <c r="G63" s="47"/>
      <c r="H63" s="63"/>
      <c r="I63" s="57"/>
      <c r="J63" s="79"/>
      <c r="K63" s="79"/>
      <c r="L63" s="80"/>
      <c r="M63" s="81"/>
      <c r="N63" s="79"/>
      <c r="O63" s="79"/>
      <c r="P63" s="79"/>
      <c r="Q63" s="83"/>
      <c r="R63" s="83"/>
      <c r="S63" s="79"/>
      <c r="T63" s="47"/>
      <c r="U63" s="47"/>
      <c r="V63" s="47"/>
      <c r="W63" s="47"/>
      <c r="X63" s="47"/>
      <c r="Y63" s="47"/>
      <c r="Z63" s="47"/>
    </row>
    <row r="64" spans="1:26" ht="12.75" customHeight="1">
      <c r="A64" s="47"/>
      <c r="B64" s="47"/>
      <c r="C64" s="47"/>
      <c r="D64" s="47"/>
      <c r="E64" s="47"/>
      <c r="F64" s="47"/>
      <c r="G64" s="47"/>
      <c r="H64" s="63"/>
      <c r="I64" s="57"/>
      <c r="J64" s="79"/>
      <c r="K64" s="79"/>
      <c r="L64" s="80"/>
      <c r="M64" s="81"/>
      <c r="N64" s="79"/>
      <c r="O64" s="79"/>
      <c r="P64" s="79"/>
      <c r="Q64" s="83"/>
      <c r="R64" s="83"/>
      <c r="S64" s="79"/>
      <c r="T64" s="47"/>
      <c r="U64" s="47"/>
      <c r="V64" s="47"/>
      <c r="W64" s="47"/>
      <c r="X64" s="47"/>
      <c r="Y64" s="47"/>
      <c r="Z64" s="47"/>
    </row>
    <row r="65" spans="1:26" ht="12.75" customHeight="1">
      <c r="A65" s="47"/>
      <c r="B65" s="47"/>
      <c r="C65" s="47"/>
      <c r="D65" s="47"/>
      <c r="E65" s="47"/>
      <c r="F65" s="47"/>
      <c r="G65" s="47"/>
      <c r="H65" s="63"/>
      <c r="I65" s="57"/>
      <c r="J65" s="79"/>
      <c r="K65" s="79"/>
      <c r="L65" s="80"/>
      <c r="M65" s="81"/>
      <c r="N65" s="79"/>
      <c r="O65" s="79"/>
      <c r="P65" s="79"/>
      <c r="Q65" s="83"/>
      <c r="R65" s="83"/>
      <c r="S65" s="79"/>
      <c r="T65" s="47"/>
      <c r="U65" s="47"/>
      <c r="V65" s="47"/>
      <c r="W65" s="47"/>
      <c r="X65" s="47"/>
      <c r="Y65" s="47"/>
      <c r="Z65" s="47"/>
    </row>
    <row r="66" spans="1:26" ht="12.75" customHeight="1">
      <c r="A66" s="47"/>
      <c r="B66" s="47"/>
      <c r="C66" s="47"/>
      <c r="D66" s="47"/>
      <c r="E66" s="47"/>
      <c r="F66" s="47"/>
      <c r="G66" s="47"/>
      <c r="H66" s="63"/>
      <c r="I66" s="57"/>
      <c r="J66" s="79"/>
      <c r="K66" s="79"/>
      <c r="L66" s="80"/>
      <c r="M66" s="81"/>
      <c r="N66" s="79"/>
      <c r="O66" s="79"/>
      <c r="P66" s="79"/>
      <c r="Q66" s="83"/>
      <c r="R66" s="83"/>
      <c r="S66" s="79"/>
      <c r="T66" s="47"/>
      <c r="U66" s="47"/>
      <c r="V66" s="47"/>
      <c r="W66" s="47"/>
      <c r="X66" s="47"/>
      <c r="Y66" s="47"/>
      <c r="Z66" s="47"/>
    </row>
    <row r="67" spans="1:26" ht="12.75" customHeight="1">
      <c r="A67" s="47"/>
      <c r="B67" s="47"/>
      <c r="C67" s="47"/>
      <c r="D67" s="47"/>
      <c r="E67" s="47"/>
      <c r="F67" s="47"/>
      <c r="G67" s="47"/>
      <c r="H67" s="63"/>
      <c r="I67" s="57"/>
      <c r="J67" s="79"/>
      <c r="K67" s="79"/>
      <c r="L67" s="80"/>
      <c r="M67" s="81"/>
      <c r="N67" s="79"/>
      <c r="O67" s="79"/>
      <c r="P67" s="79"/>
      <c r="Q67" s="83"/>
      <c r="R67" s="83"/>
      <c r="S67" s="79"/>
      <c r="T67" s="47"/>
      <c r="U67" s="47"/>
      <c r="V67" s="47"/>
      <c r="W67" s="47"/>
      <c r="X67" s="47"/>
      <c r="Y67" s="47"/>
      <c r="Z67" s="47"/>
    </row>
    <row r="68" spans="1:26" ht="12.75" customHeight="1">
      <c r="A68" s="47"/>
      <c r="B68" s="47"/>
      <c r="C68" s="47"/>
      <c r="D68" s="47"/>
      <c r="E68" s="47"/>
      <c r="F68" s="47"/>
      <c r="G68" s="47"/>
      <c r="H68" s="63"/>
      <c r="I68" s="57"/>
      <c r="J68" s="79"/>
      <c r="K68" s="79"/>
      <c r="L68" s="80"/>
      <c r="M68" s="81"/>
      <c r="N68" s="79"/>
      <c r="O68" s="79"/>
      <c r="P68" s="79"/>
      <c r="Q68" s="83"/>
      <c r="R68" s="83"/>
      <c r="S68" s="79"/>
      <c r="T68" s="47"/>
      <c r="U68" s="47"/>
      <c r="V68" s="47"/>
      <c r="W68" s="47"/>
      <c r="X68" s="47"/>
      <c r="Y68" s="47"/>
      <c r="Z68" s="47"/>
    </row>
    <row r="69" spans="1:26" ht="12.75" customHeight="1">
      <c r="A69" s="47"/>
      <c r="B69" s="47"/>
      <c r="C69" s="47"/>
      <c r="D69" s="47"/>
      <c r="E69" s="47"/>
      <c r="F69" s="47"/>
      <c r="G69" s="47"/>
      <c r="H69" s="63"/>
      <c r="I69" s="57"/>
      <c r="J69" s="79"/>
      <c r="K69" s="79"/>
      <c r="L69" s="80"/>
      <c r="M69" s="81"/>
      <c r="N69" s="79"/>
      <c r="O69" s="79"/>
      <c r="P69" s="79"/>
      <c r="Q69" s="83"/>
      <c r="R69" s="83"/>
      <c r="S69" s="79"/>
      <c r="T69" s="47"/>
      <c r="U69" s="47"/>
      <c r="V69" s="47"/>
      <c r="W69" s="47"/>
      <c r="X69" s="47"/>
      <c r="Y69" s="47"/>
      <c r="Z69" s="47"/>
    </row>
    <row r="70" spans="1:26" ht="12.75" customHeight="1">
      <c r="A70" s="47"/>
      <c r="B70" s="47"/>
      <c r="C70" s="47"/>
      <c r="D70" s="47"/>
      <c r="E70" s="47"/>
      <c r="F70" s="47"/>
      <c r="G70" s="47"/>
      <c r="H70" s="63"/>
      <c r="I70" s="57"/>
      <c r="J70" s="79"/>
      <c r="K70" s="79"/>
      <c r="L70" s="80"/>
      <c r="M70" s="81"/>
      <c r="N70" s="79"/>
      <c r="O70" s="79"/>
      <c r="P70" s="79"/>
      <c r="Q70" s="83"/>
      <c r="R70" s="83"/>
      <c r="S70" s="79"/>
      <c r="T70" s="47"/>
      <c r="U70" s="47"/>
      <c r="V70" s="47"/>
      <c r="W70" s="47"/>
      <c r="X70" s="47"/>
      <c r="Y70" s="47"/>
      <c r="Z70" s="47"/>
    </row>
    <row r="71" spans="1:26" ht="12.75" customHeight="1">
      <c r="A71" s="47"/>
      <c r="B71" s="47"/>
      <c r="C71" s="47"/>
      <c r="D71" s="47"/>
      <c r="E71" s="47"/>
      <c r="F71" s="47"/>
      <c r="G71" s="47"/>
      <c r="H71" s="63"/>
      <c r="I71" s="57"/>
      <c r="J71" s="79"/>
      <c r="K71" s="79"/>
      <c r="L71" s="80"/>
      <c r="M71" s="81"/>
      <c r="N71" s="79"/>
      <c r="O71" s="79"/>
      <c r="P71" s="79"/>
      <c r="Q71" s="83"/>
      <c r="R71" s="83"/>
      <c r="S71" s="79"/>
      <c r="T71" s="47"/>
      <c r="U71" s="47"/>
      <c r="V71" s="47"/>
      <c r="W71" s="47"/>
      <c r="X71" s="47"/>
      <c r="Y71" s="47"/>
      <c r="Z71" s="47"/>
    </row>
    <row r="72" spans="1:26" ht="12.75" customHeight="1">
      <c r="A72" s="47"/>
      <c r="B72" s="47"/>
      <c r="C72" s="47"/>
      <c r="D72" s="47"/>
      <c r="E72" s="47"/>
      <c r="F72" s="47"/>
      <c r="G72" s="47"/>
      <c r="H72" s="63"/>
      <c r="I72" s="57"/>
      <c r="J72" s="79"/>
      <c r="K72" s="79"/>
      <c r="L72" s="80"/>
      <c r="M72" s="81"/>
      <c r="N72" s="79"/>
      <c r="O72" s="79"/>
      <c r="P72" s="79"/>
      <c r="Q72" s="83"/>
      <c r="R72" s="83"/>
      <c r="S72" s="79"/>
      <c r="T72" s="47"/>
      <c r="U72" s="47"/>
      <c r="V72" s="47"/>
      <c r="W72" s="47"/>
      <c r="X72" s="47"/>
      <c r="Y72" s="47"/>
      <c r="Z72" s="47"/>
    </row>
    <row r="73" spans="1:26" ht="12.75" customHeight="1">
      <c r="A73" s="47"/>
      <c r="B73" s="47"/>
      <c r="C73" s="47"/>
      <c r="D73" s="47"/>
      <c r="E73" s="47"/>
      <c r="F73" s="47"/>
      <c r="G73" s="47"/>
      <c r="H73" s="63"/>
      <c r="I73" s="57"/>
      <c r="J73" s="79"/>
      <c r="K73" s="79"/>
      <c r="L73" s="80"/>
      <c r="M73" s="81"/>
      <c r="N73" s="79"/>
      <c r="O73" s="79"/>
      <c r="P73" s="79"/>
      <c r="Q73" s="83"/>
      <c r="R73" s="83"/>
      <c r="S73" s="79"/>
      <c r="T73" s="47"/>
      <c r="U73" s="47"/>
      <c r="V73" s="47"/>
      <c r="W73" s="47"/>
      <c r="X73" s="47"/>
      <c r="Y73" s="47"/>
      <c r="Z73" s="47"/>
    </row>
    <row r="74" spans="1:26" ht="12.75" customHeight="1">
      <c r="A74" s="47"/>
      <c r="B74" s="47"/>
      <c r="C74" s="47"/>
      <c r="D74" s="47"/>
      <c r="E74" s="47"/>
      <c r="F74" s="47"/>
      <c r="G74" s="47"/>
      <c r="H74" s="63"/>
      <c r="I74" s="57"/>
      <c r="J74" s="79"/>
      <c r="K74" s="79"/>
      <c r="L74" s="80"/>
      <c r="M74" s="81"/>
      <c r="N74" s="79"/>
      <c r="O74" s="79"/>
      <c r="P74" s="79"/>
      <c r="Q74" s="83"/>
      <c r="R74" s="83"/>
      <c r="S74" s="79"/>
      <c r="T74" s="47"/>
      <c r="U74" s="47"/>
      <c r="V74" s="47"/>
      <c r="W74" s="47"/>
      <c r="X74" s="47"/>
      <c r="Y74" s="47"/>
      <c r="Z74" s="47"/>
    </row>
    <row r="75" spans="1:26" ht="12.75" customHeight="1">
      <c r="A75" s="47"/>
      <c r="B75" s="47"/>
      <c r="C75" s="47"/>
      <c r="D75" s="47"/>
      <c r="E75" s="47"/>
      <c r="F75" s="47"/>
      <c r="G75" s="47"/>
      <c r="H75" s="63"/>
      <c r="I75" s="57"/>
      <c r="J75" s="79"/>
      <c r="K75" s="79"/>
      <c r="L75" s="80"/>
      <c r="M75" s="81"/>
      <c r="N75" s="79"/>
      <c r="O75" s="79"/>
      <c r="P75" s="79"/>
      <c r="Q75" s="83"/>
      <c r="R75" s="83"/>
      <c r="S75" s="79"/>
      <c r="T75" s="47"/>
      <c r="U75" s="47"/>
      <c r="V75" s="47"/>
      <c r="W75" s="47"/>
      <c r="X75" s="47"/>
      <c r="Y75" s="47"/>
      <c r="Z75" s="47"/>
    </row>
    <row r="76" spans="1:26" ht="12.75" customHeight="1">
      <c r="A76" s="47"/>
      <c r="B76" s="47"/>
      <c r="C76" s="47"/>
      <c r="D76" s="47"/>
      <c r="E76" s="47"/>
      <c r="F76" s="47"/>
      <c r="G76" s="47"/>
      <c r="H76" s="63"/>
      <c r="I76" s="57"/>
      <c r="J76" s="79"/>
      <c r="K76" s="79"/>
      <c r="L76" s="80"/>
      <c r="M76" s="81"/>
      <c r="N76" s="79"/>
      <c r="O76" s="79"/>
      <c r="P76" s="79"/>
      <c r="Q76" s="83"/>
      <c r="R76" s="83"/>
      <c r="S76" s="79"/>
      <c r="T76" s="47"/>
      <c r="U76" s="47"/>
      <c r="V76" s="47"/>
      <c r="W76" s="47"/>
      <c r="X76" s="47"/>
      <c r="Y76" s="47"/>
      <c r="Z76" s="47"/>
    </row>
    <row r="77" spans="1:26" ht="12.75" customHeight="1">
      <c r="A77" s="47"/>
      <c r="B77" s="47"/>
      <c r="C77" s="47"/>
      <c r="D77" s="47"/>
      <c r="E77" s="47"/>
      <c r="F77" s="47"/>
      <c r="G77" s="47"/>
      <c r="H77" s="63"/>
      <c r="I77" s="57"/>
      <c r="J77" s="79"/>
      <c r="K77" s="79"/>
      <c r="L77" s="80"/>
      <c r="M77" s="81"/>
      <c r="N77" s="79"/>
      <c r="O77" s="79"/>
      <c r="P77" s="79"/>
      <c r="Q77" s="83"/>
      <c r="R77" s="83"/>
      <c r="S77" s="79"/>
      <c r="T77" s="47"/>
      <c r="U77" s="47"/>
      <c r="V77" s="47"/>
      <c r="W77" s="47"/>
      <c r="X77" s="47"/>
      <c r="Y77" s="47"/>
      <c r="Z77" s="47"/>
    </row>
    <row r="78" spans="1:26" ht="12.75" customHeight="1">
      <c r="A78" s="47"/>
      <c r="B78" s="47"/>
      <c r="C78" s="47"/>
      <c r="D78" s="47"/>
      <c r="E78" s="47"/>
      <c r="F78" s="47"/>
      <c r="G78" s="47"/>
      <c r="H78" s="63"/>
      <c r="I78" s="57"/>
      <c r="J78" s="79"/>
      <c r="K78" s="79"/>
      <c r="L78" s="80"/>
      <c r="M78" s="81"/>
      <c r="N78" s="79"/>
      <c r="O78" s="79"/>
      <c r="P78" s="79"/>
      <c r="Q78" s="83"/>
      <c r="R78" s="83"/>
      <c r="S78" s="79"/>
      <c r="T78" s="47"/>
      <c r="U78" s="47"/>
      <c r="V78" s="47"/>
      <c r="W78" s="47"/>
      <c r="X78" s="47"/>
      <c r="Y78" s="47"/>
      <c r="Z78" s="47"/>
    </row>
    <row r="79" spans="1:26" ht="12.75" customHeight="1">
      <c r="A79" s="47"/>
      <c r="B79" s="47"/>
      <c r="C79" s="47"/>
      <c r="D79" s="47"/>
      <c r="E79" s="47"/>
      <c r="F79" s="47"/>
      <c r="G79" s="47"/>
      <c r="H79" s="63"/>
      <c r="I79" s="57"/>
      <c r="J79" s="79"/>
      <c r="K79" s="79"/>
      <c r="L79" s="80"/>
      <c r="M79" s="81"/>
      <c r="N79" s="79"/>
      <c r="O79" s="79"/>
      <c r="P79" s="79"/>
      <c r="Q79" s="83"/>
      <c r="R79" s="83"/>
      <c r="S79" s="79"/>
      <c r="T79" s="47"/>
      <c r="U79" s="47"/>
      <c r="V79" s="47"/>
      <c r="W79" s="47"/>
      <c r="X79" s="47"/>
      <c r="Y79" s="47"/>
      <c r="Z79" s="47"/>
    </row>
    <row r="80" spans="1:26" ht="12.75" customHeight="1">
      <c r="A80" s="47"/>
      <c r="B80" s="47"/>
      <c r="C80" s="47"/>
      <c r="D80" s="47"/>
      <c r="E80" s="47"/>
      <c r="F80" s="47"/>
      <c r="G80" s="47"/>
      <c r="H80" s="63"/>
      <c r="I80" s="57"/>
      <c r="J80" s="79"/>
      <c r="K80" s="79"/>
      <c r="L80" s="80"/>
      <c r="M80" s="81"/>
      <c r="N80" s="79"/>
      <c r="O80" s="79"/>
      <c r="P80" s="79"/>
      <c r="Q80" s="83"/>
      <c r="R80" s="83"/>
      <c r="S80" s="79"/>
      <c r="T80" s="47"/>
      <c r="U80" s="47"/>
      <c r="V80" s="47"/>
      <c r="W80" s="47"/>
      <c r="X80" s="47"/>
      <c r="Y80" s="47"/>
      <c r="Z80" s="47"/>
    </row>
    <row r="81" spans="1:26" ht="12.75" customHeight="1">
      <c r="A81" s="47"/>
      <c r="B81" s="47"/>
      <c r="C81" s="47"/>
      <c r="D81" s="47"/>
      <c r="E81" s="47"/>
      <c r="F81" s="47"/>
      <c r="G81" s="47"/>
      <c r="H81" s="63"/>
      <c r="I81" s="57"/>
      <c r="J81" s="79"/>
      <c r="K81" s="79"/>
      <c r="L81" s="80"/>
      <c r="M81" s="81"/>
      <c r="N81" s="79"/>
      <c r="O81" s="79"/>
      <c r="P81" s="79"/>
      <c r="Q81" s="83"/>
      <c r="R81" s="83"/>
      <c r="S81" s="79"/>
      <c r="T81" s="47"/>
      <c r="U81" s="47"/>
      <c r="V81" s="47"/>
      <c r="W81" s="47"/>
      <c r="X81" s="47"/>
      <c r="Y81" s="47"/>
      <c r="Z81" s="47"/>
    </row>
    <row r="82" spans="1:26" ht="12.75" customHeight="1">
      <c r="A82" s="47"/>
      <c r="B82" s="47"/>
      <c r="C82" s="47"/>
      <c r="D82" s="47"/>
      <c r="E82" s="47"/>
      <c r="F82" s="47"/>
      <c r="G82" s="47"/>
      <c r="H82" s="63"/>
      <c r="I82" s="57"/>
      <c r="J82" s="79"/>
      <c r="K82" s="79"/>
      <c r="L82" s="80"/>
      <c r="M82" s="81"/>
      <c r="N82" s="79"/>
      <c r="O82" s="79"/>
      <c r="P82" s="79"/>
      <c r="Q82" s="83"/>
      <c r="R82" s="83"/>
      <c r="S82" s="79"/>
      <c r="T82" s="47"/>
      <c r="U82" s="47"/>
      <c r="V82" s="47"/>
      <c r="W82" s="47"/>
      <c r="X82" s="47"/>
      <c r="Y82" s="47"/>
      <c r="Z82" s="47"/>
    </row>
    <row r="83" spans="1:26" ht="12.75" customHeight="1">
      <c r="A83" s="47"/>
      <c r="B83" s="47"/>
      <c r="C83" s="47"/>
      <c r="D83" s="47"/>
      <c r="E83" s="47"/>
      <c r="F83" s="47"/>
      <c r="G83" s="47"/>
      <c r="H83" s="63"/>
      <c r="I83" s="57"/>
      <c r="J83" s="79"/>
      <c r="K83" s="79"/>
      <c r="L83" s="80"/>
      <c r="M83" s="81"/>
      <c r="N83" s="79"/>
      <c r="O83" s="79"/>
      <c r="P83" s="79"/>
      <c r="Q83" s="83"/>
      <c r="R83" s="83"/>
      <c r="S83" s="79"/>
      <c r="T83" s="47"/>
      <c r="U83" s="47"/>
      <c r="V83" s="47"/>
      <c r="W83" s="47"/>
      <c r="X83" s="47"/>
      <c r="Y83" s="47"/>
      <c r="Z83" s="47"/>
    </row>
    <row r="84" spans="1:26" ht="12.75" customHeight="1">
      <c r="A84" s="47"/>
      <c r="B84" s="47"/>
      <c r="C84" s="47"/>
      <c r="D84" s="47"/>
      <c r="E84" s="47"/>
      <c r="F84" s="47"/>
      <c r="G84" s="47"/>
      <c r="H84" s="63"/>
      <c r="I84" s="57"/>
      <c r="J84" s="79"/>
      <c r="K84" s="79"/>
      <c r="L84" s="80"/>
      <c r="M84" s="81"/>
      <c r="N84" s="79"/>
      <c r="O84" s="79"/>
      <c r="P84" s="79"/>
      <c r="Q84" s="83"/>
      <c r="R84" s="83"/>
      <c r="S84" s="79"/>
      <c r="T84" s="47"/>
      <c r="U84" s="47"/>
      <c r="V84" s="47"/>
      <c r="W84" s="47"/>
      <c r="X84" s="47"/>
      <c r="Y84" s="47"/>
      <c r="Z84" s="47"/>
    </row>
    <row r="85" spans="1:26" ht="12.75" customHeight="1">
      <c r="A85" s="47"/>
      <c r="B85" s="47"/>
      <c r="C85" s="47"/>
      <c r="D85" s="47"/>
      <c r="E85" s="47"/>
      <c r="F85" s="47"/>
      <c r="G85" s="47"/>
      <c r="H85" s="63"/>
      <c r="I85" s="57"/>
      <c r="J85" s="79"/>
      <c r="K85" s="79"/>
      <c r="L85" s="80"/>
      <c r="M85" s="81"/>
      <c r="N85" s="79"/>
      <c r="O85" s="79"/>
      <c r="P85" s="79"/>
      <c r="Q85" s="83"/>
      <c r="R85" s="83"/>
      <c r="S85" s="79"/>
      <c r="T85" s="47"/>
      <c r="U85" s="47"/>
      <c r="V85" s="47"/>
      <c r="W85" s="47"/>
      <c r="X85" s="47"/>
      <c r="Y85" s="47"/>
      <c r="Z85" s="47"/>
    </row>
    <row r="86" spans="1:26" ht="12.75" customHeight="1">
      <c r="A86" s="47"/>
      <c r="B86" s="47"/>
      <c r="C86" s="47"/>
      <c r="D86" s="47"/>
      <c r="E86" s="47"/>
      <c r="F86" s="47"/>
      <c r="G86" s="47"/>
      <c r="H86" s="63"/>
      <c r="I86" s="57"/>
      <c r="J86" s="79"/>
      <c r="K86" s="79"/>
      <c r="L86" s="80"/>
      <c r="M86" s="81"/>
      <c r="N86" s="79"/>
      <c r="O86" s="79"/>
      <c r="P86" s="79"/>
      <c r="Q86" s="83"/>
      <c r="R86" s="83"/>
      <c r="S86" s="79"/>
      <c r="T86" s="47"/>
      <c r="U86" s="47"/>
      <c r="V86" s="47"/>
      <c r="W86" s="47"/>
      <c r="X86" s="47"/>
      <c r="Y86" s="47"/>
      <c r="Z86" s="47"/>
    </row>
    <row r="87" spans="1:26" ht="12.75" customHeight="1">
      <c r="A87" s="47"/>
      <c r="B87" s="47"/>
      <c r="C87" s="47"/>
      <c r="D87" s="47"/>
      <c r="E87" s="47"/>
      <c r="F87" s="47"/>
      <c r="G87" s="47"/>
      <c r="H87" s="63"/>
      <c r="I87" s="57"/>
      <c r="J87" s="79"/>
      <c r="K87" s="79"/>
      <c r="L87" s="80"/>
      <c r="M87" s="81"/>
      <c r="N87" s="79"/>
      <c r="O87" s="79"/>
      <c r="P87" s="79"/>
      <c r="Q87" s="83"/>
      <c r="R87" s="83"/>
      <c r="S87" s="79"/>
      <c r="T87" s="47"/>
      <c r="U87" s="47"/>
      <c r="V87" s="47"/>
      <c r="W87" s="47"/>
      <c r="X87" s="47"/>
      <c r="Y87" s="47"/>
      <c r="Z87" s="47"/>
    </row>
    <row r="88" spans="1:26" ht="12.75" customHeight="1">
      <c r="A88" s="47"/>
      <c r="B88" s="47"/>
      <c r="C88" s="47"/>
      <c r="D88" s="47"/>
      <c r="E88" s="47"/>
      <c r="F88" s="47"/>
      <c r="G88" s="47"/>
      <c r="H88" s="63"/>
      <c r="I88" s="57"/>
      <c r="J88" s="79"/>
      <c r="K88" s="79"/>
      <c r="L88" s="80"/>
      <c r="M88" s="81"/>
      <c r="N88" s="79"/>
      <c r="O88" s="79"/>
      <c r="P88" s="79"/>
      <c r="Q88" s="83"/>
      <c r="R88" s="83"/>
      <c r="S88" s="79"/>
      <c r="T88" s="47"/>
      <c r="U88" s="47"/>
      <c r="V88" s="47"/>
      <c r="W88" s="47"/>
      <c r="X88" s="47"/>
      <c r="Y88" s="47"/>
      <c r="Z88" s="47"/>
    </row>
    <row r="89" spans="1:26" ht="12.75" customHeight="1">
      <c r="A89" s="47"/>
      <c r="B89" s="47"/>
      <c r="C89" s="47"/>
      <c r="D89" s="47"/>
      <c r="E89" s="47"/>
      <c r="F89" s="47"/>
      <c r="G89" s="47"/>
      <c r="H89" s="63"/>
      <c r="I89" s="57"/>
      <c r="J89" s="79"/>
      <c r="K89" s="79"/>
      <c r="L89" s="80"/>
      <c r="M89" s="81"/>
      <c r="N89" s="79"/>
      <c r="O89" s="79"/>
      <c r="P89" s="79"/>
      <c r="Q89" s="83"/>
      <c r="R89" s="83"/>
      <c r="S89" s="79"/>
      <c r="T89" s="47"/>
      <c r="U89" s="47"/>
      <c r="V89" s="47"/>
      <c r="W89" s="47"/>
      <c r="X89" s="47"/>
      <c r="Y89" s="47"/>
      <c r="Z89" s="47"/>
    </row>
    <row r="90" spans="1:26" ht="12.75" customHeight="1">
      <c r="A90" s="47"/>
      <c r="B90" s="47"/>
      <c r="C90" s="47"/>
      <c r="D90" s="47"/>
      <c r="E90" s="47"/>
      <c r="F90" s="47"/>
      <c r="G90" s="47"/>
      <c r="H90" s="63"/>
      <c r="I90" s="57"/>
      <c r="J90" s="79"/>
      <c r="K90" s="79"/>
      <c r="L90" s="80"/>
      <c r="M90" s="81"/>
      <c r="N90" s="79"/>
      <c r="O90" s="79"/>
      <c r="P90" s="79"/>
      <c r="Q90" s="83"/>
      <c r="R90" s="83"/>
      <c r="S90" s="79"/>
      <c r="T90" s="47"/>
      <c r="U90" s="47"/>
      <c r="V90" s="47"/>
      <c r="W90" s="47"/>
      <c r="X90" s="47"/>
      <c r="Y90" s="47"/>
      <c r="Z90" s="47"/>
    </row>
    <row r="91" spans="1:26" ht="12.75" customHeight="1">
      <c r="A91" s="47"/>
      <c r="B91" s="47"/>
      <c r="C91" s="47"/>
      <c r="D91" s="47"/>
      <c r="E91" s="47"/>
      <c r="F91" s="47"/>
      <c r="G91" s="47"/>
      <c r="H91" s="63"/>
      <c r="I91" s="57"/>
      <c r="J91" s="79"/>
      <c r="K91" s="79"/>
      <c r="L91" s="79"/>
      <c r="M91" s="81"/>
      <c r="N91" s="79"/>
      <c r="O91" s="79"/>
      <c r="P91" s="79"/>
      <c r="Q91" s="83"/>
      <c r="R91" s="83"/>
      <c r="S91" s="79"/>
      <c r="T91" s="47"/>
      <c r="U91" s="47"/>
      <c r="V91" s="47"/>
      <c r="W91" s="47"/>
      <c r="X91" s="47"/>
      <c r="Y91" s="47"/>
      <c r="Z91" s="47"/>
    </row>
    <row r="92" spans="1:26" ht="12.75" customHeight="1">
      <c r="A92" s="47"/>
      <c r="B92" s="47"/>
      <c r="C92" s="47"/>
      <c r="D92" s="47"/>
      <c r="E92" s="47"/>
      <c r="F92" s="47"/>
      <c r="G92" s="47"/>
      <c r="H92" s="63"/>
      <c r="I92" s="57"/>
      <c r="J92" s="79"/>
      <c r="K92" s="79"/>
      <c r="L92" s="79"/>
      <c r="M92" s="81"/>
      <c r="N92" s="79"/>
      <c r="O92" s="79"/>
      <c r="P92" s="79"/>
      <c r="Q92" s="83"/>
      <c r="R92" s="83"/>
      <c r="S92" s="79"/>
      <c r="T92" s="47"/>
      <c r="U92" s="47"/>
      <c r="V92" s="47"/>
      <c r="W92" s="47"/>
      <c r="X92" s="47"/>
      <c r="Y92" s="47"/>
      <c r="Z92" s="47"/>
    </row>
    <row r="93" spans="1:26" ht="12.75" customHeight="1">
      <c r="A93" s="47"/>
      <c r="B93" s="47"/>
      <c r="C93" s="47"/>
      <c r="D93" s="47"/>
      <c r="E93" s="47"/>
      <c r="F93" s="47"/>
      <c r="G93" s="47"/>
      <c r="H93" s="63"/>
      <c r="I93" s="57"/>
      <c r="J93" s="79"/>
      <c r="K93" s="79"/>
      <c r="L93" s="79"/>
      <c r="M93" s="81"/>
      <c r="N93" s="79"/>
      <c r="O93" s="79"/>
      <c r="P93" s="79"/>
      <c r="Q93" s="83"/>
      <c r="R93" s="83"/>
      <c r="S93" s="79"/>
      <c r="T93" s="47"/>
      <c r="U93" s="47"/>
      <c r="V93" s="47"/>
      <c r="W93" s="47"/>
      <c r="X93" s="47"/>
      <c r="Y93" s="47"/>
      <c r="Z93" s="47"/>
    </row>
    <row r="94" spans="1:26" ht="12.75" customHeight="1">
      <c r="A94" s="47"/>
      <c r="B94" s="47"/>
      <c r="C94" s="47"/>
      <c r="D94" s="47"/>
      <c r="E94" s="47"/>
      <c r="F94" s="47"/>
      <c r="G94" s="47"/>
      <c r="H94" s="63"/>
      <c r="I94" s="57"/>
      <c r="J94" s="79"/>
      <c r="K94" s="79"/>
      <c r="L94" s="79"/>
      <c r="M94" s="81"/>
      <c r="N94" s="79"/>
      <c r="O94" s="79"/>
      <c r="P94" s="79"/>
      <c r="Q94" s="83"/>
      <c r="R94" s="83"/>
      <c r="S94" s="79"/>
      <c r="T94" s="47"/>
      <c r="U94" s="47"/>
      <c r="V94" s="47"/>
      <c r="W94" s="47"/>
      <c r="X94" s="47"/>
      <c r="Y94" s="47"/>
      <c r="Z94" s="47"/>
    </row>
    <row r="95" spans="1:26" ht="12.75" customHeight="1">
      <c r="A95" s="47"/>
      <c r="B95" s="47"/>
      <c r="C95" s="47"/>
      <c r="D95" s="47"/>
      <c r="E95" s="47"/>
      <c r="F95" s="47"/>
      <c r="G95" s="47"/>
      <c r="H95" s="63"/>
      <c r="I95" s="57"/>
      <c r="J95" s="79"/>
      <c r="K95" s="79"/>
      <c r="L95" s="79"/>
      <c r="M95" s="81"/>
      <c r="N95" s="79"/>
      <c r="O95" s="79"/>
      <c r="P95" s="79"/>
      <c r="Q95" s="83"/>
      <c r="R95" s="83"/>
      <c r="S95" s="79"/>
      <c r="T95" s="47"/>
      <c r="U95" s="47"/>
      <c r="V95" s="47"/>
      <c r="W95" s="47"/>
      <c r="X95" s="47"/>
      <c r="Y95" s="47"/>
      <c r="Z95" s="47"/>
    </row>
    <row r="96" spans="1:26" ht="12.75" customHeight="1">
      <c r="A96" s="47"/>
      <c r="B96" s="47"/>
      <c r="C96" s="47"/>
      <c r="D96" s="47"/>
      <c r="E96" s="47"/>
      <c r="F96" s="47"/>
      <c r="G96" s="47"/>
      <c r="H96" s="63"/>
      <c r="I96" s="57"/>
      <c r="J96" s="79"/>
      <c r="K96" s="79"/>
      <c r="L96" s="79"/>
      <c r="M96" s="81"/>
      <c r="N96" s="79"/>
      <c r="O96" s="79"/>
      <c r="P96" s="79"/>
      <c r="Q96" s="83"/>
      <c r="R96" s="83"/>
      <c r="S96" s="79"/>
      <c r="T96" s="47"/>
      <c r="U96" s="47"/>
      <c r="V96" s="47"/>
      <c r="W96" s="47"/>
      <c r="X96" s="47"/>
      <c r="Y96" s="47"/>
      <c r="Z96" s="47"/>
    </row>
    <row r="97" spans="1:26" ht="12.75" customHeight="1">
      <c r="A97" s="47"/>
      <c r="B97" s="47"/>
      <c r="C97" s="47"/>
      <c r="D97" s="47"/>
      <c r="E97" s="47"/>
      <c r="F97" s="47"/>
      <c r="G97" s="47"/>
      <c r="H97" s="63"/>
      <c r="I97" s="57"/>
      <c r="J97" s="79"/>
      <c r="K97" s="79"/>
      <c r="L97" s="79"/>
      <c r="M97" s="81"/>
      <c r="N97" s="79"/>
      <c r="O97" s="79"/>
      <c r="P97" s="79"/>
      <c r="Q97" s="83"/>
      <c r="R97" s="83"/>
      <c r="S97" s="79"/>
      <c r="T97" s="47"/>
      <c r="U97" s="47"/>
      <c r="V97" s="47"/>
      <c r="W97" s="47"/>
      <c r="X97" s="47"/>
      <c r="Y97" s="47"/>
      <c r="Z97" s="47"/>
    </row>
    <row r="98" spans="1:26" ht="12.75" customHeight="1">
      <c r="A98" s="47"/>
      <c r="B98" s="47"/>
      <c r="C98" s="47"/>
      <c r="D98" s="47"/>
      <c r="E98" s="47"/>
      <c r="F98" s="47"/>
      <c r="G98" s="47"/>
      <c r="H98" s="63"/>
      <c r="I98" s="57"/>
      <c r="J98" s="79"/>
      <c r="K98" s="79"/>
      <c r="L98" s="79"/>
      <c r="M98" s="81"/>
      <c r="N98" s="79"/>
      <c r="O98" s="79"/>
      <c r="P98" s="79"/>
      <c r="Q98" s="83"/>
      <c r="R98" s="83"/>
      <c r="S98" s="79"/>
      <c r="T98" s="47"/>
      <c r="U98" s="47"/>
      <c r="V98" s="47"/>
      <c r="W98" s="47"/>
      <c r="X98" s="47"/>
      <c r="Y98" s="47"/>
      <c r="Z98" s="47"/>
    </row>
    <row r="99" spans="1:26" ht="12.75" customHeight="1">
      <c r="A99" s="47"/>
      <c r="B99" s="47"/>
      <c r="C99" s="47"/>
      <c r="D99" s="47"/>
      <c r="E99" s="47"/>
      <c r="F99" s="47"/>
      <c r="G99" s="47"/>
      <c r="H99" s="63"/>
      <c r="I99" s="57"/>
      <c r="J99" s="79"/>
      <c r="K99" s="79"/>
      <c r="L99" s="79"/>
      <c r="M99" s="81"/>
      <c r="N99" s="79"/>
      <c r="O99" s="79"/>
      <c r="P99" s="79"/>
      <c r="Q99" s="83"/>
      <c r="R99" s="83"/>
      <c r="S99" s="79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/>
      <c r="B100" s="47"/>
      <c r="C100" s="47"/>
      <c r="D100" s="47"/>
      <c r="E100" s="47"/>
      <c r="F100" s="47"/>
      <c r="G100" s="47"/>
      <c r="H100" s="63"/>
      <c r="I100" s="57"/>
      <c r="J100" s="79"/>
      <c r="K100" s="79"/>
      <c r="L100" s="79"/>
      <c r="M100" s="81"/>
      <c r="N100" s="79"/>
      <c r="O100" s="79"/>
      <c r="P100" s="79"/>
      <c r="Q100" s="83"/>
      <c r="R100" s="83"/>
      <c r="S100" s="79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/>
      <c r="B101" s="47"/>
      <c r="C101" s="47"/>
      <c r="D101" s="47"/>
      <c r="E101" s="47"/>
      <c r="F101" s="47"/>
      <c r="G101" s="47"/>
      <c r="H101" s="63"/>
      <c r="I101" s="57"/>
      <c r="J101" s="79"/>
      <c r="K101" s="79"/>
      <c r="L101" s="79"/>
      <c r="M101" s="81"/>
      <c r="N101" s="79"/>
      <c r="O101" s="79"/>
      <c r="P101" s="79"/>
      <c r="Q101" s="83"/>
      <c r="R101" s="83"/>
      <c r="S101" s="79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/>
      <c r="B102" s="47"/>
      <c r="C102" s="47"/>
      <c r="D102" s="47"/>
      <c r="E102" s="47"/>
      <c r="F102" s="47"/>
      <c r="G102" s="47"/>
      <c r="H102" s="63"/>
      <c r="I102" s="57"/>
      <c r="J102" s="79"/>
      <c r="K102" s="79"/>
      <c r="L102" s="79"/>
      <c r="M102" s="81"/>
      <c r="N102" s="79"/>
      <c r="O102" s="79"/>
      <c r="P102" s="79"/>
      <c r="Q102" s="83"/>
      <c r="R102" s="83"/>
      <c r="S102" s="79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/>
      <c r="B103" s="47"/>
      <c r="C103" s="47"/>
      <c r="D103" s="47"/>
      <c r="E103" s="47"/>
      <c r="F103" s="47"/>
      <c r="G103" s="47"/>
      <c r="H103" s="63"/>
      <c r="I103" s="57"/>
      <c r="J103" s="79"/>
      <c r="K103" s="79"/>
      <c r="L103" s="79"/>
      <c r="M103" s="81"/>
      <c r="N103" s="79"/>
      <c r="O103" s="79"/>
      <c r="P103" s="79"/>
      <c r="Q103" s="83"/>
      <c r="R103" s="83"/>
      <c r="S103" s="79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/>
      <c r="B104" s="47"/>
      <c r="C104" s="47"/>
      <c r="D104" s="47"/>
      <c r="E104" s="47"/>
      <c r="F104" s="47"/>
      <c r="G104" s="47"/>
      <c r="H104" s="63"/>
      <c r="I104" s="57"/>
      <c r="J104" s="79"/>
      <c r="K104" s="79"/>
      <c r="L104" s="79"/>
      <c r="M104" s="81"/>
      <c r="N104" s="79"/>
      <c r="O104" s="79"/>
      <c r="P104" s="79"/>
      <c r="Q104" s="83"/>
      <c r="R104" s="83"/>
      <c r="S104" s="79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/>
      <c r="B105" s="47"/>
      <c r="C105" s="47"/>
      <c r="D105" s="47"/>
      <c r="E105" s="47"/>
      <c r="F105" s="47"/>
      <c r="G105" s="47"/>
      <c r="H105" s="63"/>
      <c r="I105" s="57"/>
      <c r="J105" s="79"/>
      <c r="K105" s="79"/>
      <c r="L105" s="79"/>
      <c r="M105" s="81"/>
      <c r="N105" s="79"/>
      <c r="O105" s="79"/>
      <c r="P105" s="79"/>
      <c r="Q105" s="83"/>
      <c r="R105" s="83"/>
      <c r="S105" s="79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/>
      <c r="B106" s="47"/>
      <c r="C106" s="47"/>
      <c r="D106" s="47"/>
      <c r="E106" s="47"/>
      <c r="F106" s="47"/>
      <c r="G106" s="47"/>
      <c r="H106" s="63"/>
      <c r="I106" s="57"/>
      <c r="J106" s="79"/>
      <c r="K106" s="79"/>
      <c r="L106" s="79"/>
      <c r="M106" s="81"/>
      <c r="N106" s="79"/>
      <c r="O106" s="79"/>
      <c r="P106" s="79"/>
      <c r="Q106" s="83"/>
      <c r="R106" s="83"/>
      <c r="S106" s="79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/>
      <c r="B107" s="47"/>
      <c r="C107" s="47"/>
      <c r="D107" s="47"/>
      <c r="E107" s="47"/>
      <c r="F107" s="47"/>
      <c r="G107" s="47"/>
      <c r="H107" s="63"/>
      <c r="I107" s="57"/>
      <c r="J107" s="79"/>
      <c r="K107" s="79"/>
      <c r="L107" s="79"/>
      <c r="M107" s="81"/>
      <c r="N107" s="79"/>
      <c r="O107" s="79"/>
      <c r="P107" s="79"/>
      <c r="Q107" s="79"/>
      <c r="R107" s="79"/>
      <c r="S107" s="79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/>
      <c r="B108" s="47"/>
      <c r="C108" s="47"/>
      <c r="D108" s="47"/>
      <c r="E108" s="47"/>
      <c r="F108" s="47"/>
      <c r="G108" s="47"/>
      <c r="H108" s="63"/>
      <c r="I108" s="57"/>
      <c r="J108" s="79"/>
      <c r="K108" s="79"/>
      <c r="L108" s="79"/>
      <c r="M108" s="81"/>
      <c r="N108" s="79"/>
      <c r="O108" s="79"/>
      <c r="P108" s="79"/>
      <c r="Q108" s="79"/>
      <c r="R108" s="79"/>
      <c r="S108" s="79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/>
      <c r="B109" s="47"/>
      <c r="C109" s="47"/>
      <c r="D109" s="47"/>
      <c r="E109" s="47"/>
      <c r="F109" s="47"/>
      <c r="G109" s="47"/>
      <c r="H109" s="63"/>
      <c r="I109" s="57"/>
      <c r="J109" s="79"/>
      <c r="K109" s="79"/>
      <c r="L109" s="79"/>
      <c r="M109" s="81"/>
      <c r="N109" s="79"/>
      <c r="O109" s="79"/>
      <c r="P109" s="79"/>
      <c r="Q109" s="79"/>
      <c r="R109" s="79"/>
      <c r="S109" s="79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/>
      <c r="B110" s="47"/>
      <c r="C110" s="47"/>
      <c r="D110" s="47"/>
      <c r="E110" s="47"/>
      <c r="F110" s="47"/>
      <c r="G110" s="47"/>
      <c r="H110" s="63"/>
      <c r="I110" s="57"/>
      <c r="J110" s="79"/>
      <c r="K110" s="79"/>
      <c r="L110" s="79"/>
      <c r="M110" s="81"/>
      <c r="N110" s="79"/>
      <c r="O110" s="79"/>
      <c r="P110" s="79"/>
      <c r="Q110" s="79"/>
      <c r="R110" s="79"/>
      <c r="S110" s="79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/>
      <c r="B111" s="47"/>
      <c r="C111" s="47"/>
      <c r="D111" s="47"/>
      <c r="E111" s="47"/>
      <c r="F111" s="47"/>
      <c r="G111" s="47"/>
      <c r="H111" s="63"/>
      <c r="I111" s="57"/>
      <c r="J111" s="79"/>
      <c r="K111" s="79"/>
      <c r="L111" s="79"/>
      <c r="M111" s="81"/>
      <c r="N111" s="79"/>
      <c r="O111" s="79"/>
      <c r="P111" s="79"/>
      <c r="Q111" s="79"/>
      <c r="R111" s="79"/>
      <c r="S111" s="79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/>
      <c r="B112" s="47"/>
      <c r="C112" s="47"/>
      <c r="D112" s="47"/>
      <c r="E112" s="47"/>
      <c r="F112" s="47"/>
      <c r="G112" s="47"/>
      <c r="H112" s="63"/>
      <c r="I112" s="57"/>
      <c r="J112" s="79"/>
      <c r="K112" s="79"/>
      <c r="L112" s="79"/>
      <c r="M112" s="81"/>
      <c r="N112" s="79"/>
      <c r="O112" s="79"/>
      <c r="P112" s="79"/>
      <c r="Q112" s="79"/>
      <c r="R112" s="79"/>
      <c r="S112" s="79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/>
      <c r="B113" s="47"/>
      <c r="C113" s="47"/>
      <c r="D113" s="47"/>
      <c r="E113" s="47"/>
      <c r="F113" s="47"/>
      <c r="G113" s="47"/>
      <c r="H113" s="63"/>
      <c r="I113" s="57"/>
      <c r="J113" s="79"/>
      <c r="K113" s="79"/>
      <c r="L113" s="79"/>
      <c r="M113" s="81"/>
      <c r="N113" s="79"/>
      <c r="O113" s="79"/>
      <c r="P113" s="79"/>
      <c r="Q113" s="79"/>
      <c r="R113" s="79"/>
      <c r="S113" s="79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/>
      <c r="B114" s="47"/>
      <c r="C114" s="47"/>
      <c r="D114" s="47"/>
      <c r="E114" s="47"/>
      <c r="F114" s="47"/>
      <c r="G114" s="47"/>
      <c r="H114" s="63"/>
      <c r="I114" s="57"/>
      <c r="J114" s="79"/>
      <c r="K114" s="79"/>
      <c r="L114" s="79"/>
      <c r="M114" s="81"/>
      <c r="N114" s="79"/>
      <c r="O114" s="79"/>
      <c r="P114" s="79"/>
      <c r="Q114" s="79"/>
      <c r="R114" s="79"/>
      <c r="S114" s="79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/>
      <c r="B115" s="47"/>
      <c r="C115" s="47"/>
      <c r="D115" s="47"/>
      <c r="E115" s="47"/>
      <c r="F115" s="47"/>
      <c r="G115" s="47"/>
      <c r="H115" s="63"/>
      <c r="I115" s="57"/>
      <c r="J115" s="79"/>
      <c r="K115" s="79"/>
      <c r="L115" s="79"/>
      <c r="M115" s="81"/>
      <c r="N115" s="79"/>
      <c r="O115" s="79"/>
      <c r="P115" s="79"/>
      <c r="Q115" s="79"/>
      <c r="R115" s="79"/>
      <c r="S115" s="79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/>
      <c r="B116" s="47"/>
      <c r="C116" s="47"/>
      <c r="D116" s="47"/>
      <c r="E116" s="47"/>
      <c r="F116" s="47"/>
      <c r="G116" s="47"/>
      <c r="H116" s="63"/>
      <c r="I116" s="57"/>
      <c r="J116" s="79"/>
      <c r="K116" s="79"/>
      <c r="L116" s="79"/>
      <c r="M116" s="81"/>
      <c r="N116" s="79"/>
      <c r="O116" s="79"/>
      <c r="P116" s="79"/>
      <c r="Q116" s="79"/>
      <c r="R116" s="79"/>
      <c r="S116" s="79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/>
      <c r="B117" s="47"/>
      <c r="C117" s="47"/>
      <c r="D117" s="47"/>
      <c r="E117" s="47"/>
      <c r="F117" s="47"/>
      <c r="G117" s="47"/>
      <c r="H117" s="63"/>
      <c r="I117" s="57"/>
      <c r="J117" s="79"/>
      <c r="K117" s="79"/>
      <c r="L117" s="79"/>
      <c r="M117" s="81"/>
      <c r="N117" s="79"/>
      <c r="O117" s="79"/>
      <c r="P117" s="79"/>
      <c r="Q117" s="79"/>
      <c r="R117" s="79"/>
      <c r="S117" s="79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/>
      <c r="B118" s="47"/>
      <c r="C118" s="47"/>
      <c r="D118" s="47"/>
      <c r="E118" s="47"/>
      <c r="F118" s="47"/>
      <c r="G118" s="47"/>
      <c r="H118" s="63"/>
      <c r="I118" s="57"/>
      <c r="J118" s="79"/>
      <c r="K118" s="79"/>
      <c r="L118" s="79"/>
      <c r="M118" s="81"/>
      <c r="N118" s="79"/>
      <c r="O118" s="79"/>
      <c r="P118" s="79"/>
      <c r="Q118" s="79"/>
      <c r="R118" s="79"/>
      <c r="S118" s="79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/>
      <c r="B119" s="47"/>
      <c r="C119" s="47"/>
      <c r="D119" s="47"/>
      <c r="E119" s="47"/>
      <c r="F119" s="47"/>
      <c r="G119" s="47"/>
      <c r="H119" s="63"/>
      <c r="I119" s="57"/>
      <c r="J119" s="79"/>
      <c r="K119" s="79"/>
      <c r="L119" s="79"/>
      <c r="M119" s="81"/>
      <c r="N119" s="79"/>
      <c r="O119" s="79"/>
      <c r="P119" s="79"/>
      <c r="Q119" s="79"/>
      <c r="R119" s="79"/>
      <c r="S119" s="79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/>
      <c r="B120" s="47"/>
      <c r="C120" s="47"/>
      <c r="D120" s="47"/>
      <c r="E120" s="47"/>
      <c r="F120" s="47"/>
      <c r="G120" s="47"/>
      <c r="H120" s="63"/>
      <c r="I120" s="57"/>
      <c r="J120" s="79"/>
      <c r="K120" s="79"/>
      <c r="L120" s="79"/>
      <c r="M120" s="81"/>
      <c r="N120" s="79"/>
      <c r="O120" s="79"/>
      <c r="P120" s="79"/>
      <c r="Q120" s="79"/>
      <c r="R120" s="79"/>
      <c r="S120" s="79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/>
      <c r="B121" s="47"/>
      <c r="C121" s="47"/>
      <c r="D121" s="47"/>
      <c r="E121" s="47"/>
      <c r="F121" s="47"/>
      <c r="G121" s="47"/>
      <c r="H121" s="63"/>
      <c r="I121" s="57"/>
      <c r="J121" s="79"/>
      <c r="K121" s="79"/>
      <c r="L121" s="79"/>
      <c r="M121" s="81"/>
      <c r="N121" s="79"/>
      <c r="O121" s="79"/>
      <c r="P121" s="79"/>
      <c r="Q121" s="79"/>
      <c r="R121" s="79"/>
      <c r="S121" s="79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/>
      <c r="B122" s="47"/>
      <c r="C122" s="47"/>
      <c r="D122" s="47"/>
      <c r="E122" s="47"/>
      <c r="F122" s="47"/>
      <c r="G122" s="47"/>
      <c r="H122" s="63"/>
      <c r="I122" s="57"/>
      <c r="J122" s="79"/>
      <c r="K122" s="79"/>
      <c r="L122" s="79"/>
      <c r="M122" s="81"/>
      <c r="N122" s="79"/>
      <c r="O122" s="79"/>
      <c r="P122" s="79"/>
      <c r="Q122" s="79"/>
      <c r="R122" s="79"/>
      <c r="S122" s="79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/>
      <c r="B123" s="47"/>
      <c r="C123" s="47"/>
      <c r="D123" s="47"/>
      <c r="E123" s="47"/>
      <c r="F123" s="47"/>
      <c r="G123" s="47"/>
      <c r="H123" s="63"/>
      <c r="I123" s="57"/>
      <c r="J123" s="79"/>
      <c r="K123" s="79"/>
      <c r="L123" s="79"/>
      <c r="M123" s="81"/>
      <c r="N123" s="79"/>
      <c r="O123" s="79"/>
      <c r="P123" s="79"/>
      <c r="Q123" s="79"/>
      <c r="R123" s="79"/>
      <c r="S123" s="79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/>
      <c r="B124" s="47"/>
      <c r="C124" s="47"/>
      <c r="D124" s="47"/>
      <c r="E124" s="47"/>
      <c r="F124" s="47"/>
      <c r="G124" s="47"/>
      <c r="H124" s="63"/>
      <c r="I124" s="79"/>
      <c r="J124" s="79"/>
      <c r="K124" s="79"/>
      <c r="L124" s="79"/>
      <c r="M124" s="81"/>
      <c r="N124" s="79"/>
      <c r="O124" s="79"/>
      <c r="P124" s="79"/>
      <c r="Q124" s="79"/>
      <c r="R124" s="79"/>
      <c r="S124" s="79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/>
      <c r="B125" s="47"/>
      <c r="C125" s="47"/>
      <c r="D125" s="47"/>
      <c r="E125" s="47"/>
      <c r="F125" s="47"/>
      <c r="G125" s="47"/>
      <c r="H125" s="63"/>
      <c r="I125" s="79"/>
      <c r="J125" s="79"/>
      <c r="K125" s="79"/>
      <c r="L125" s="79"/>
      <c r="M125" s="81"/>
      <c r="N125" s="79"/>
      <c r="O125" s="79"/>
      <c r="P125" s="79"/>
      <c r="Q125" s="79"/>
      <c r="R125" s="79"/>
      <c r="S125" s="79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/>
      <c r="B126" s="47"/>
      <c r="C126" s="47"/>
      <c r="D126" s="47"/>
      <c r="E126" s="47"/>
      <c r="F126" s="47"/>
      <c r="G126" s="47"/>
      <c r="H126" s="63"/>
      <c r="I126" s="79"/>
      <c r="J126" s="79"/>
      <c r="K126" s="79"/>
      <c r="L126" s="79"/>
      <c r="M126" s="81"/>
      <c r="N126" s="79"/>
      <c r="O126" s="79"/>
      <c r="P126" s="79"/>
      <c r="Q126" s="79"/>
      <c r="R126" s="79"/>
      <c r="S126" s="79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/>
      <c r="B127" s="47"/>
      <c r="C127" s="47"/>
      <c r="D127" s="47"/>
      <c r="E127" s="47"/>
      <c r="F127" s="47"/>
      <c r="G127" s="47"/>
      <c r="H127" s="63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/>
      <c r="B128" s="47"/>
      <c r="C128" s="47"/>
      <c r="D128" s="47"/>
      <c r="E128" s="47"/>
      <c r="F128" s="47"/>
      <c r="G128" s="47"/>
      <c r="H128" s="84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/>
      <c r="B129" s="47"/>
      <c r="C129" s="47"/>
      <c r="D129" s="47"/>
      <c r="E129" s="47"/>
      <c r="F129" s="47"/>
      <c r="G129" s="47"/>
      <c r="H129" s="84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/>
      <c r="B130" s="47"/>
      <c r="C130" s="47"/>
      <c r="D130" s="47"/>
      <c r="E130" s="47"/>
      <c r="F130" s="47"/>
      <c r="G130" s="47"/>
      <c r="H130" s="84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/>
      <c r="B131" s="47"/>
      <c r="C131" s="47"/>
      <c r="D131" s="47"/>
      <c r="E131" s="47"/>
      <c r="F131" s="47"/>
      <c r="G131" s="47"/>
      <c r="H131" s="84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/>
      <c r="B132" s="47"/>
      <c r="C132" s="47"/>
      <c r="D132" s="47"/>
      <c r="E132" s="47"/>
      <c r="F132" s="47"/>
      <c r="G132" s="47"/>
      <c r="H132" s="84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/>
      <c r="B133" s="47"/>
      <c r="C133" s="47"/>
      <c r="D133" s="47"/>
      <c r="E133" s="47"/>
      <c r="F133" s="47"/>
      <c r="G133" s="47"/>
      <c r="H133" s="84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/>
      <c r="B134" s="47"/>
      <c r="C134" s="47"/>
      <c r="D134" s="47"/>
      <c r="E134" s="47"/>
      <c r="F134" s="47"/>
      <c r="G134" s="47"/>
      <c r="H134" s="84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/>
      <c r="B135" s="47"/>
      <c r="C135" s="47"/>
      <c r="D135" s="47"/>
      <c r="E135" s="47"/>
      <c r="F135" s="47"/>
      <c r="G135" s="47"/>
      <c r="H135" s="84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/>
      <c r="B136" s="47"/>
      <c r="C136" s="47"/>
      <c r="D136" s="47"/>
      <c r="E136" s="47"/>
      <c r="F136" s="47"/>
      <c r="G136" s="47"/>
      <c r="H136" s="84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/>
      <c r="B137" s="47"/>
      <c r="C137" s="47"/>
      <c r="D137" s="47"/>
      <c r="E137" s="47"/>
      <c r="F137" s="47"/>
      <c r="G137" s="47"/>
      <c r="H137" s="84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/>
      <c r="B138" s="47"/>
      <c r="C138" s="47"/>
      <c r="D138" s="47"/>
      <c r="E138" s="47"/>
      <c r="F138" s="47"/>
      <c r="G138" s="47"/>
      <c r="H138" s="84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/>
      <c r="B139" s="47"/>
      <c r="C139" s="47"/>
      <c r="D139" s="47"/>
      <c r="E139" s="47"/>
      <c r="F139" s="47"/>
      <c r="G139" s="47"/>
      <c r="H139" s="84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/>
      <c r="B140" s="47"/>
      <c r="C140" s="47"/>
      <c r="D140" s="47"/>
      <c r="E140" s="47"/>
      <c r="F140" s="47"/>
      <c r="G140" s="47"/>
      <c r="H140" s="84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/>
      <c r="B141" s="47"/>
      <c r="C141" s="47"/>
      <c r="D141" s="47"/>
      <c r="E141" s="47"/>
      <c r="F141" s="47"/>
      <c r="G141" s="47"/>
      <c r="H141" s="84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/>
      <c r="B142" s="47"/>
      <c r="C142" s="47"/>
      <c r="D142" s="47"/>
      <c r="E142" s="47"/>
      <c r="F142" s="47"/>
      <c r="G142" s="47"/>
      <c r="H142" s="84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/>
      <c r="B143" s="47"/>
      <c r="C143" s="47"/>
      <c r="D143" s="47"/>
      <c r="E143" s="47"/>
      <c r="F143" s="47"/>
      <c r="G143" s="47"/>
      <c r="H143" s="84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/>
      <c r="B144" s="47"/>
      <c r="C144" s="47"/>
      <c r="D144" s="47"/>
      <c r="E144" s="47"/>
      <c r="F144" s="47"/>
      <c r="G144" s="47"/>
      <c r="H144" s="84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/>
      <c r="B145" s="47"/>
      <c r="C145" s="47"/>
      <c r="D145" s="47"/>
      <c r="E145" s="47"/>
      <c r="F145" s="47"/>
      <c r="G145" s="47"/>
      <c r="H145" s="84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/>
      <c r="B146" s="47"/>
      <c r="C146" s="47"/>
      <c r="D146" s="47"/>
      <c r="E146" s="47"/>
      <c r="F146" s="47"/>
      <c r="G146" s="47"/>
      <c r="H146" s="84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/>
      <c r="B147" s="47"/>
      <c r="C147" s="47"/>
      <c r="D147" s="47"/>
      <c r="E147" s="47"/>
      <c r="F147" s="47"/>
      <c r="G147" s="47"/>
      <c r="H147" s="84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/>
      <c r="B148" s="47"/>
      <c r="C148" s="47"/>
      <c r="D148" s="47"/>
      <c r="E148" s="47"/>
      <c r="F148" s="47"/>
      <c r="G148" s="47"/>
      <c r="H148" s="84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/>
      <c r="B149" s="47"/>
      <c r="C149" s="47"/>
      <c r="D149" s="47"/>
      <c r="E149" s="47"/>
      <c r="F149" s="47"/>
      <c r="G149" s="47"/>
      <c r="H149" s="84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/>
      <c r="B150" s="47"/>
      <c r="C150" s="47"/>
      <c r="D150" s="47"/>
      <c r="E150" s="47"/>
      <c r="F150" s="47"/>
      <c r="G150" s="47"/>
      <c r="H150" s="84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/>
      <c r="B151" s="47"/>
      <c r="C151" s="47"/>
      <c r="D151" s="47"/>
      <c r="E151" s="47"/>
      <c r="F151" s="47"/>
      <c r="G151" s="47"/>
      <c r="H151" s="84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/>
      <c r="B152" s="47"/>
      <c r="C152" s="47"/>
      <c r="D152" s="47"/>
      <c r="E152" s="47"/>
      <c r="F152" s="47"/>
      <c r="G152" s="47"/>
      <c r="H152" s="84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/>
      <c r="B153" s="47"/>
      <c r="C153" s="47"/>
      <c r="D153" s="47"/>
      <c r="E153" s="47"/>
      <c r="F153" s="47"/>
      <c r="G153" s="47"/>
      <c r="H153" s="84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/>
      <c r="B154" s="47"/>
      <c r="C154" s="47"/>
      <c r="D154" s="47"/>
      <c r="E154" s="47"/>
      <c r="F154" s="47"/>
      <c r="G154" s="47"/>
      <c r="H154" s="84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/>
      <c r="B155" s="47"/>
      <c r="C155" s="47"/>
      <c r="D155" s="47"/>
      <c r="E155" s="47"/>
      <c r="F155" s="47"/>
      <c r="G155" s="47"/>
      <c r="H155" s="84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/>
      <c r="B156" s="47"/>
      <c r="C156" s="47"/>
      <c r="D156" s="47"/>
      <c r="E156" s="47"/>
      <c r="F156" s="47"/>
      <c r="G156" s="47"/>
      <c r="H156" s="84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/>
      <c r="B157" s="47"/>
      <c r="C157" s="47"/>
      <c r="D157" s="47"/>
      <c r="E157" s="47"/>
      <c r="F157" s="47"/>
      <c r="G157" s="47"/>
      <c r="H157" s="84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/>
      <c r="B158" s="47"/>
      <c r="C158" s="47"/>
      <c r="D158" s="47"/>
      <c r="E158" s="47"/>
      <c r="F158" s="47"/>
      <c r="G158" s="47"/>
      <c r="H158" s="84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/>
      <c r="B159" s="47"/>
      <c r="C159" s="47"/>
      <c r="D159" s="47"/>
      <c r="E159" s="47"/>
      <c r="F159" s="47"/>
      <c r="G159" s="47"/>
      <c r="H159" s="84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/>
      <c r="B160" s="47"/>
      <c r="C160" s="47"/>
      <c r="D160" s="47"/>
      <c r="E160" s="47"/>
      <c r="F160" s="47"/>
      <c r="G160" s="47"/>
      <c r="H160" s="84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/>
      <c r="B161" s="47"/>
      <c r="C161" s="47"/>
      <c r="D161" s="47"/>
      <c r="E161" s="47"/>
      <c r="F161" s="47"/>
      <c r="G161" s="47"/>
      <c r="H161" s="84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/>
      <c r="B162" s="47"/>
      <c r="C162" s="47"/>
      <c r="D162" s="47"/>
      <c r="E162" s="47"/>
      <c r="F162" s="47"/>
      <c r="G162" s="47"/>
      <c r="H162" s="84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/>
      <c r="B163" s="47"/>
      <c r="C163" s="47"/>
      <c r="D163" s="47"/>
      <c r="E163" s="47"/>
      <c r="F163" s="47"/>
      <c r="G163" s="47"/>
      <c r="H163" s="84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/>
      <c r="B164" s="47"/>
      <c r="C164" s="47"/>
      <c r="D164" s="47"/>
      <c r="E164" s="47"/>
      <c r="F164" s="47"/>
      <c r="G164" s="47"/>
      <c r="H164" s="84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47"/>
      <c r="B165" s="47"/>
      <c r="C165" s="47"/>
      <c r="D165" s="47"/>
      <c r="E165" s="47"/>
      <c r="F165" s="47"/>
      <c r="G165" s="47"/>
      <c r="H165" s="84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/>
      <c r="B166" s="47"/>
      <c r="C166" s="47"/>
      <c r="D166" s="47"/>
      <c r="E166" s="47"/>
      <c r="F166" s="47"/>
      <c r="G166" s="47"/>
      <c r="H166" s="84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/>
      <c r="B167" s="47"/>
      <c r="C167" s="47"/>
      <c r="D167" s="47"/>
      <c r="E167" s="47"/>
      <c r="F167" s="47"/>
      <c r="G167" s="47"/>
      <c r="H167" s="84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/>
      <c r="B168" s="47"/>
      <c r="C168" s="47"/>
      <c r="D168" s="47"/>
      <c r="E168" s="47"/>
      <c r="F168" s="47"/>
      <c r="G168" s="47"/>
      <c r="H168" s="84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/>
      <c r="B169" s="47"/>
      <c r="C169" s="47"/>
      <c r="D169" s="47"/>
      <c r="E169" s="47"/>
      <c r="F169" s="47"/>
      <c r="G169" s="47"/>
      <c r="H169" s="84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/>
      <c r="B170" s="47"/>
      <c r="C170" s="47"/>
      <c r="D170" s="47"/>
      <c r="E170" s="47"/>
      <c r="F170" s="47"/>
      <c r="G170" s="47"/>
      <c r="H170" s="84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/>
      <c r="B171" s="47"/>
      <c r="C171" s="47"/>
      <c r="D171" s="47"/>
      <c r="E171" s="47"/>
      <c r="F171" s="47"/>
      <c r="G171" s="47"/>
      <c r="H171" s="84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/>
      <c r="B172" s="47"/>
      <c r="C172" s="47"/>
      <c r="D172" s="47"/>
      <c r="E172" s="47"/>
      <c r="F172" s="47"/>
      <c r="G172" s="47"/>
      <c r="H172" s="84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/>
      <c r="B173" s="47"/>
      <c r="C173" s="47"/>
      <c r="D173" s="47"/>
      <c r="E173" s="47"/>
      <c r="F173" s="47"/>
      <c r="G173" s="47"/>
      <c r="H173" s="84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/>
      <c r="B174" s="47"/>
      <c r="C174" s="47"/>
      <c r="D174" s="47"/>
      <c r="E174" s="47"/>
      <c r="F174" s="47"/>
      <c r="G174" s="47"/>
      <c r="H174" s="84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/>
      <c r="B175" s="47"/>
      <c r="C175" s="47"/>
      <c r="D175" s="47"/>
      <c r="E175" s="47"/>
      <c r="F175" s="47"/>
      <c r="G175" s="47"/>
      <c r="H175" s="84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B176" s="47"/>
      <c r="C176" s="47"/>
      <c r="D176" s="47"/>
      <c r="E176" s="47"/>
      <c r="F176" s="47"/>
      <c r="G176" s="47"/>
      <c r="H176" s="84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B177" s="47"/>
      <c r="C177" s="47"/>
      <c r="D177" s="47"/>
      <c r="E177" s="47"/>
      <c r="F177" s="47"/>
      <c r="G177" s="47"/>
      <c r="H177" s="84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B178" s="47"/>
      <c r="C178" s="47"/>
      <c r="D178" s="47"/>
      <c r="E178" s="47"/>
      <c r="F178" s="47"/>
      <c r="G178" s="47"/>
      <c r="H178" s="84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B179" s="47"/>
      <c r="C179" s="47"/>
      <c r="D179" s="47"/>
      <c r="E179" s="47"/>
      <c r="F179" s="47"/>
      <c r="G179" s="47"/>
      <c r="H179" s="84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B180" s="47"/>
      <c r="C180" s="47"/>
      <c r="D180" s="47"/>
      <c r="E180" s="47"/>
      <c r="F180" s="47"/>
      <c r="G180" s="47"/>
      <c r="H180" s="84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B181" s="47"/>
      <c r="C181" s="47"/>
      <c r="D181" s="47"/>
      <c r="E181" s="47"/>
      <c r="F181" s="47"/>
      <c r="G181" s="47"/>
      <c r="H181" s="84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B182" s="47"/>
      <c r="C182" s="47"/>
      <c r="D182" s="47"/>
      <c r="E182" s="47"/>
      <c r="F182" s="47"/>
      <c r="G182" s="47"/>
      <c r="H182" s="84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B183" s="47"/>
      <c r="C183" s="47"/>
      <c r="D183" s="47"/>
      <c r="E183" s="47"/>
      <c r="F183" s="47"/>
      <c r="G183" s="47"/>
      <c r="H183" s="84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B184" s="47"/>
      <c r="C184" s="47"/>
      <c r="D184" s="47"/>
      <c r="E184" s="47"/>
      <c r="F184" s="47"/>
      <c r="G184" s="47"/>
      <c r="H184" s="84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B185" s="47"/>
      <c r="C185" s="47"/>
      <c r="D185" s="47"/>
      <c r="E185" s="47"/>
      <c r="F185" s="47"/>
      <c r="G185" s="47"/>
      <c r="H185" s="84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B186" s="47"/>
      <c r="C186" s="47"/>
      <c r="D186" s="47"/>
      <c r="E186" s="47"/>
      <c r="F186" s="47"/>
      <c r="G186" s="47"/>
      <c r="H186" s="84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B187" s="47"/>
      <c r="C187" s="47"/>
      <c r="D187" s="47"/>
      <c r="E187" s="47"/>
      <c r="F187" s="47"/>
      <c r="G187" s="47"/>
      <c r="H187" s="84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B188" s="47"/>
      <c r="C188" s="47"/>
      <c r="D188" s="47"/>
      <c r="E188" s="47"/>
      <c r="F188" s="47"/>
      <c r="G188" s="47"/>
      <c r="H188" s="84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B189" s="47"/>
      <c r="C189" s="47"/>
      <c r="D189" s="47"/>
      <c r="E189" s="47"/>
      <c r="F189" s="47"/>
      <c r="G189" s="47"/>
      <c r="H189" s="84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B190" s="47"/>
      <c r="C190" s="47"/>
      <c r="D190" s="47"/>
      <c r="E190" s="47"/>
      <c r="F190" s="47"/>
      <c r="G190" s="47"/>
      <c r="H190" s="84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B191" s="47"/>
      <c r="C191" s="47"/>
      <c r="D191" s="47"/>
      <c r="E191" s="47"/>
      <c r="F191" s="47"/>
      <c r="G191" s="47"/>
      <c r="H191" s="84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B192" s="47"/>
      <c r="C192" s="47"/>
      <c r="D192" s="47"/>
      <c r="E192" s="47"/>
      <c r="F192" s="47"/>
      <c r="G192" s="47"/>
      <c r="H192" s="84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B193" s="47"/>
      <c r="C193" s="47"/>
      <c r="D193" s="47"/>
      <c r="E193" s="47"/>
      <c r="F193" s="47"/>
      <c r="G193" s="47"/>
      <c r="H193" s="84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B194" s="47"/>
      <c r="C194" s="47"/>
      <c r="D194" s="47"/>
      <c r="E194" s="47"/>
      <c r="F194" s="47"/>
      <c r="G194" s="47"/>
      <c r="H194" s="84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B195" s="47"/>
      <c r="C195" s="47"/>
      <c r="D195" s="47"/>
      <c r="E195" s="47"/>
      <c r="F195" s="47"/>
      <c r="G195" s="47"/>
      <c r="H195" s="84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B196" s="47"/>
      <c r="C196" s="47"/>
      <c r="D196" s="47"/>
      <c r="E196" s="47"/>
      <c r="F196" s="47"/>
      <c r="G196" s="47"/>
      <c r="H196" s="84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84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84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B199" s="47"/>
      <c r="C199" s="47"/>
      <c r="D199" s="47"/>
      <c r="E199" s="47"/>
      <c r="F199" s="47"/>
      <c r="G199" s="47"/>
      <c r="H199" s="84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B200" s="47"/>
      <c r="C200" s="47"/>
      <c r="D200" s="47"/>
      <c r="E200" s="47"/>
      <c r="F200" s="47"/>
      <c r="G200" s="47"/>
      <c r="H200" s="84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B201" s="47"/>
      <c r="C201" s="47"/>
      <c r="D201" s="47"/>
      <c r="E201" s="47"/>
      <c r="F201" s="47"/>
      <c r="G201" s="47"/>
      <c r="H201" s="84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B202" s="47"/>
      <c r="C202" s="47"/>
      <c r="D202" s="47"/>
      <c r="E202" s="47"/>
      <c r="F202" s="47"/>
      <c r="G202" s="47"/>
      <c r="H202" s="84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B203" s="47"/>
      <c r="C203" s="47"/>
      <c r="D203" s="47"/>
      <c r="E203" s="47"/>
      <c r="F203" s="47"/>
      <c r="G203" s="47"/>
      <c r="H203" s="84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B204" s="47"/>
      <c r="C204" s="47"/>
      <c r="D204" s="47"/>
      <c r="E204" s="47"/>
      <c r="F204" s="47"/>
      <c r="G204" s="47"/>
      <c r="H204" s="84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B205" s="47"/>
      <c r="C205" s="47"/>
      <c r="D205" s="47"/>
      <c r="E205" s="47"/>
      <c r="F205" s="47"/>
      <c r="G205" s="47"/>
      <c r="H205" s="84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B206" s="47"/>
      <c r="C206" s="47"/>
      <c r="D206" s="47"/>
      <c r="E206" s="47"/>
      <c r="F206" s="47"/>
      <c r="G206" s="47"/>
      <c r="H206" s="84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B207" s="47"/>
      <c r="C207" s="47"/>
      <c r="D207" s="47"/>
      <c r="E207" s="47"/>
      <c r="F207" s="47"/>
      <c r="G207" s="47"/>
      <c r="H207" s="84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B208" s="47"/>
      <c r="C208" s="47"/>
      <c r="D208" s="47"/>
      <c r="E208" s="47"/>
      <c r="F208" s="47"/>
      <c r="G208" s="47"/>
      <c r="H208" s="84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B209" s="47"/>
      <c r="C209" s="47"/>
      <c r="D209" s="47"/>
      <c r="E209" s="47"/>
      <c r="F209" s="47"/>
      <c r="G209" s="47"/>
      <c r="H209" s="84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B210" s="47"/>
      <c r="C210" s="47"/>
      <c r="D210" s="47"/>
      <c r="E210" s="47"/>
      <c r="F210" s="47"/>
      <c r="G210" s="47"/>
      <c r="H210" s="84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B211" s="47"/>
      <c r="C211" s="47"/>
      <c r="D211" s="47"/>
      <c r="E211" s="47"/>
      <c r="F211" s="47"/>
      <c r="G211" s="47"/>
      <c r="H211" s="84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B212" s="47"/>
      <c r="C212" s="47"/>
      <c r="D212" s="47"/>
      <c r="E212" s="47"/>
      <c r="F212" s="47"/>
      <c r="G212" s="47"/>
      <c r="H212" s="84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B213" s="47"/>
      <c r="C213" s="47"/>
      <c r="D213" s="47"/>
      <c r="E213" s="47"/>
      <c r="F213" s="47"/>
      <c r="G213" s="47"/>
      <c r="H213" s="84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B214" s="47"/>
      <c r="C214" s="47"/>
      <c r="D214" s="47"/>
      <c r="E214" s="47"/>
      <c r="F214" s="47"/>
      <c r="G214" s="47"/>
      <c r="H214" s="84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B215" s="47"/>
      <c r="C215" s="47"/>
      <c r="D215" s="47"/>
      <c r="E215" s="47"/>
      <c r="F215" s="47"/>
      <c r="G215" s="47"/>
      <c r="H215" s="84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B216" s="47"/>
      <c r="C216" s="47"/>
      <c r="D216" s="47"/>
      <c r="E216" s="47"/>
      <c r="F216" s="47"/>
      <c r="G216" s="47"/>
      <c r="H216" s="84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B217" s="47"/>
      <c r="C217" s="47"/>
      <c r="D217" s="47"/>
      <c r="E217" s="47"/>
      <c r="F217" s="47"/>
      <c r="G217" s="47"/>
      <c r="H217" s="84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B218" s="47"/>
      <c r="C218" s="47"/>
      <c r="D218" s="47"/>
      <c r="E218" s="47"/>
      <c r="F218" s="47"/>
      <c r="G218" s="47"/>
      <c r="H218" s="84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B219" s="47"/>
      <c r="C219" s="47"/>
      <c r="D219" s="47"/>
      <c r="E219" s="47"/>
      <c r="F219" s="47"/>
      <c r="G219" s="47"/>
      <c r="H219" s="84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B220" s="47"/>
      <c r="C220" s="47"/>
      <c r="D220" s="47"/>
      <c r="E220" s="47"/>
      <c r="F220" s="47"/>
      <c r="G220" s="47"/>
      <c r="H220" s="84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B221" s="47"/>
      <c r="C221" s="47"/>
      <c r="D221" s="47"/>
      <c r="E221" s="47"/>
      <c r="F221" s="47"/>
      <c r="G221" s="47"/>
      <c r="H221" s="84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B222" s="47"/>
      <c r="C222" s="47"/>
      <c r="D222" s="47"/>
      <c r="E222" s="47"/>
      <c r="F222" s="47"/>
      <c r="G222" s="47"/>
      <c r="H222" s="84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84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84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84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84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84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84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84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84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84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84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84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84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84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84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84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84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84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84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84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84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84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84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84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84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84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84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84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84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84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84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84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84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84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84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84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84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84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84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84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84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84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84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84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84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84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84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84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84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84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84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84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84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84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84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84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84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84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84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84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84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84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84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84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84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84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84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84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84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84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84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84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84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84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84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84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84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84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84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84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84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84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84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84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84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84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84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84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84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84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84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84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84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84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84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84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84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84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84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84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84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84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84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84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84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84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84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84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84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84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84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84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84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84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84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84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84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84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84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84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84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84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84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84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84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84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84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84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84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84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84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84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84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84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84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84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84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84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84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84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84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84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84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84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84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84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84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84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84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84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84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84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84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84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84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84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84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84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84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84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84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84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84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84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84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84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84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84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84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84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84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84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84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84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84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84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84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84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84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84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84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84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84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84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84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84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84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84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84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84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84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84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84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84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84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84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84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84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84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84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84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84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84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84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84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84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84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84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84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84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84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84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84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84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84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84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84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84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84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84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84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84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84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84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84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84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84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84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84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84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84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84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84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84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84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84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84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84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84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84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84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84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84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84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84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84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84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84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84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84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84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84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84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84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84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84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84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84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84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84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84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84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84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84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84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84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84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84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84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84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84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84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84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84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84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84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84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84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84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84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84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84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84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84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84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84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84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84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84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84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84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84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84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84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84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84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84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84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84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84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84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84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84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84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84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84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84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84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84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84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84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84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84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84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84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84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84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84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84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84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84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84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84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84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84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84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84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84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84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84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84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84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84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84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84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84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84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84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84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84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84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84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84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84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84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84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84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84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84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84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84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84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84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84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84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84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84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84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84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84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84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84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84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84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84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84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84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84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84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84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84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84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84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84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84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84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84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84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84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84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84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84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84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84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84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84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84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84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47"/>
      <c r="B610" s="47"/>
      <c r="C610" s="47"/>
      <c r="D610" s="47"/>
      <c r="E610" s="47"/>
      <c r="F610" s="47"/>
      <c r="G610" s="47"/>
      <c r="H610" s="84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47"/>
      <c r="B611" s="47"/>
      <c r="C611" s="47"/>
      <c r="D611" s="47"/>
      <c r="E611" s="47"/>
      <c r="F611" s="47"/>
      <c r="G611" s="47"/>
      <c r="H611" s="84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47"/>
      <c r="B612" s="47"/>
      <c r="C612" s="47"/>
      <c r="D612" s="47"/>
      <c r="E612" s="47"/>
      <c r="F612" s="47"/>
      <c r="G612" s="47"/>
      <c r="H612" s="84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47"/>
      <c r="B613" s="47"/>
      <c r="C613" s="47"/>
      <c r="D613" s="47"/>
      <c r="E613" s="47"/>
      <c r="F613" s="47"/>
      <c r="G613" s="47"/>
      <c r="H613" s="84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47"/>
      <c r="B614" s="47"/>
      <c r="C614" s="47"/>
      <c r="D614" s="47"/>
      <c r="E614" s="47"/>
      <c r="F614" s="47"/>
      <c r="G614" s="47"/>
      <c r="H614" s="84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47"/>
      <c r="B615" s="47"/>
      <c r="C615" s="47"/>
      <c r="D615" s="47"/>
      <c r="E615" s="47"/>
      <c r="F615" s="47"/>
      <c r="G615" s="47"/>
      <c r="H615" s="84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47"/>
      <c r="B616" s="47"/>
      <c r="C616" s="47"/>
      <c r="D616" s="47"/>
      <c r="E616" s="47"/>
      <c r="F616" s="47"/>
      <c r="G616" s="47"/>
      <c r="H616" s="84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47"/>
      <c r="B617" s="47"/>
      <c r="C617" s="47"/>
      <c r="D617" s="47"/>
      <c r="E617" s="47"/>
      <c r="F617" s="47"/>
      <c r="G617" s="47"/>
      <c r="H617" s="84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47"/>
      <c r="B618" s="47"/>
      <c r="C618" s="47"/>
      <c r="D618" s="47"/>
      <c r="E618" s="47"/>
      <c r="F618" s="47"/>
      <c r="G618" s="47"/>
      <c r="H618" s="84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47"/>
      <c r="B619" s="47"/>
      <c r="C619" s="47"/>
      <c r="D619" s="47"/>
      <c r="E619" s="47"/>
      <c r="F619" s="47"/>
      <c r="G619" s="47"/>
      <c r="H619" s="84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47"/>
      <c r="B620" s="47"/>
      <c r="C620" s="47"/>
      <c r="D620" s="47"/>
      <c r="E620" s="47"/>
      <c r="F620" s="47"/>
      <c r="G620" s="47"/>
      <c r="H620" s="84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47"/>
      <c r="B621" s="47"/>
      <c r="C621" s="47"/>
      <c r="D621" s="47"/>
      <c r="E621" s="47"/>
      <c r="F621" s="47"/>
      <c r="G621" s="47"/>
      <c r="H621" s="84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47"/>
      <c r="B622" s="47"/>
      <c r="C622" s="47"/>
      <c r="D622" s="47"/>
      <c r="E622" s="47"/>
      <c r="F622" s="47"/>
      <c r="G622" s="47"/>
      <c r="H622" s="84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47"/>
      <c r="B623" s="47"/>
      <c r="C623" s="47"/>
      <c r="D623" s="47"/>
      <c r="E623" s="47"/>
      <c r="F623" s="47"/>
      <c r="G623" s="47"/>
      <c r="H623" s="84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47"/>
      <c r="B624" s="47"/>
      <c r="C624" s="47"/>
      <c r="D624" s="47"/>
      <c r="E624" s="47"/>
      <c r="F624" s="47"/>
      <c r="G624" s="47"/>
      <c r="H624" s="84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47"/>
      <c r="B625" s="47"/>
      <c r="C625" s="47"/>
      <c r="D625" s="47"/>
      <c r="E625" s="47"/>
      <c r="F625" s="47"/>
      <c r="G625" s="47"/>
      <c r="H625" s="84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47"/>
      <c r="B626" s="47"/>
      <c r="C626" s="47"/>
      <c r="D626" s="47"/>
      <c r="E626" s="47"/>
      <c r="F626" s="47"/>
      <c r="G626" s="47"/>
      <c r="H626" s="84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47"/>
      <c r="B627" s="47"/>
      <c r="C627" s="47"/>
      <c r="D627" s="47"/>
      <c r="E627" s="47"/>
      <c r="F627" s="47"/>
      <c r="G627" s="47"/>
      <c r="H627" s="84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47"/>
      <c r="B628" s="47"/>
      <c r="C628" s="47"/>
      <c r="D628" s="47"/>
      <c r="E628" s="47"/>
      <c r="F628" s="47"/>
      <c r="G628" s="47"/>
      <c r="H628" s="84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47"/>
      <c r="B629" s="47"/>
      <c r="C629" s="47"/>
      <c r="D629" s="47"/>
      <c r="E629" s="47"/>
      <c r="F629" s="47"/>
      <c r="G629" s="47"/>
      <c r="H629" s="84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47"/>
      <c r="B630" s="47"/>
      <c r="C630" s="47"/>
      <c r="D630" s="47"/>
      <c r="E630" s="47"/>
      <c r="F630" s="47"/>
      <c r="G630" s="47"/>
      <c r="H630" s="84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47"/>
      <c r="B631" s="47"/>
      <c r="C631" s="47"/>
      <c r="D631" s="47"/>
      <c r="E631" s="47"/>
      <c r="F631" s="47"/>
      <c r="G631" s="47"/>
      <c r="H631" s="84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47"/>
      <c r="B632" s="47"/>
      <c r="C632" s="47"/>
      <c r="D632" s="47"/>
      <c r="E632" s="47"/>
      <c r="F632" s="47"/>
      <c r="G632" s="47"/>
      <c r="H632" s="84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47"/>
      <c r="B633" s="47"/>
      <c r="C633" s="47"/>
      <c r="D633" s="47"/>
      <c r="E633" s="47"/>
      <c r="F633" s="47"/>
      <c r="G633" s="47"/>
      <c r="H633" s="84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47"/>
      <c r="B634" s="47"/>
      <c r="C634" s="47"/>
      <c r="D634" s="47"/>
      <c r="E634" s="47"/>
      <c r="F634" s="47"/>
      <c r="G634" s="47"/>
      <c r="H634" s="84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47"/>
      <c r="B635" s="47"/>
      <c r="C635" s="47"/>
      <c r="D635" s="47"/>
      <c r="E635" s="47"/>
      <c r="F635" s="47"/>
      <c r="G635" s="47"/>
      <c r="H635" s="84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47"/>
      <c r="B636" s="47"/>
      <c r="C636" s="47"/>
      <c r="D636" s="47"/>
      <c r="E636" s="47"/>
      <c r="F636" s="47"/>
      <c r="G636" s="47"/>
      <c r="H636" s="84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47"/>
      <c r="B637" s="47"/>
      <c r="C637" s="47"/>
      <c r="D637" s="47"/>
      <c r="E637" s="47"/>
      <c r="F637" s="47"/>
      <c r="G637" s="47"/>
      <c r="H637" s="84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47"/>
      <c r="B638" s="47"/>
      <c r="C638" s="47"/>
      <c r="D638" s="47"/>
      <c r="E638" s="47"/>
      <c r="F638" s="47"/>
      <c r="G638" s="47"/>
      <c r="H638" s="84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47"/>
      <c r="B639" s="47"/>
      <c r="C639" s="47"/>
      <c r="D639" s="47"/>
      <c r="E639" s="47"/>
      <c r="F639" s="47"/>
      <c r="G639" s="47"/>
      <c r="H639" s="84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47"/>
      <c r="B640" s="47"/>
      <c r="C640" s="47"/>
      <c r="D640" s="47"/>
      <c r="E640" s="47"/>
      <c r="F640" s="47"/>
      <c r="G640" s="47"/>
      <c r="H640" s="84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47"/>
      <c r="B641" s="47"/>
      <c r="C641" s="47"/>
      <c r="D641" s="47"/>
      <c r="E641" s="47"/>
      <c r="F641" s="47"/>
      <c r="G641" s="47"/>
      <c r="H641" s="84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47"/>
      <c r="B642" s="47"/>
      <c r="C642" s="47"/>
      <c r="D642" s="47"/>
      <c r="E642" s="47"/>
      <c r="F642" s="47"/>
      <c r="G642" s="47"/>
      <c r="H642" s="84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47"/>
      <c r="B643" s="47"/>
      <c r="C643" s="47"/>
      <c r="D643" s="47"/>
      <c r="E643" s="47"/>
      <c r="F643" s="47"/>
      <c r="G643" s="47"/>
      <c r="H643" s="84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47"/>
      <c r="B644" s="47"/>
      <c r="C644" s="47"/>
      <c r="D644" s="47"/>
      <c r="E644" s="47"/>
      <c r="F644" s="47"/>
      <c r="G644" s="47"/>
      <c r="H644" s="84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47"/>
      <c r="B645" s="47"/>
      <c r="C645" s="47"/>
      <c r="D645" s="47"/>
      <c r="E645" s="47"/>
      <c r="F645" s="47"/>
      <c r="G645" s="47"/>
      <c r="H645" s="84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47"/>
      <c r="B646" s="47"/>
      <c r="C646" s="47"/>
      <c r="D646" s="47"/>
      <c r="E646" s="47"/>
      <c r="F646" s="47"/>
      <c r="G646" s="47"/>
      <c r="H646" s="84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47"/>
      <c r="B647" s="47"/>
      <c r="C647" s="47"/>
      <c r="D647" s="47"/>
      <c r="E647" s="47"/>
      <c r="F647" s="47"/>
      <c r="G647" s="47"/>
      <c r="H647" s="84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47"/>
      <c r="B648" s="47"/>
      <c r="C648" s="47"/>
      <c r="D648" s="47"/>
      <c r="E648" s="47"/>
      <c r="F648" s="47"/>
      <c r="G648" s="47"/>
      <c r="H648" s="84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47"/>
      <c r="B649" s="47"/>
      <c r="C649" s="47"/>
      <c r="D649" s="47"/>
      <c r="E649" s="47"/>
      <c r="F649" s="47"/>
      <c r="G649" s="47"/>
      <c r="H649" s="84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47"/>
      <c r="B650" s="47"/>
      <c r="C650" s="47"/>
      <c r="D650" s="47"/>
      <c r="E650" s="47"/>
      <c r="F650" s="47"/>
      <c r="G650" s="47"/>
      <c r="H650" s="84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47"/>
      <c r="B651" s="47"/>
      <c r="C651" s="47"/>
      <c r="D651" s="47"/>
      <c r="E651" s="47"/>
      <c r="F651" s="47"/>
      <c r="G651" s="47"/>
      <c r="H651" s="84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47"/>
      <c r="B652" s="47"/>
      <c r="C652" s="47"/>
      <c r="D652" s="47"/>
      <c r="E652" s="47"/>
      <c r="F652" s="47"/>
      <c r="G652" s="47"/>
      <c r="H652" s="84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47"/>
      <c r="B653" s="47"/>
      <c r="C653" s="47"/>
      <c r="D653" s="47"/>
      <c r="E653" s="47"/>
      <c r="F653" s="47"/>
      <c r="G653" s="47"/>
      <c r="H653" s="84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47"/>
      <c r="B654" s="47"/>
      <c r="C654" s="47"/>
      <c r="D654" s="47"/>
      <c r="E654" s="47"/>
      <c r="F654" s="47"/>
      <c r="G654" s="47"/>
      <c r="H654" s="84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47"/>
      <c r="U654" s="47"/>
      <c r="V654" s="47"/>
      <c r="W654" s="47"/>
      <c r="X654" s="47"/>
      <c r="Y654" s="47"/>
      <c r="Z654" s="47"/>
    </row>
    <row r="655" spans="1:26" ht="12.75" customHeight="1">
      <c r="A655" s="47"/>
      <c r="B655" s="47"/>
      <c r="C655" s="47"/>
      <c r="D655" s="47"/>
      <c r="E655" s="47"/>
      <c r="F655" s="47"/>
      <c r="G655" s="47"/>
      <c r="H655" s="84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47"/>
      <c r="U655" s="47"/>
      <c r="V655" s="47"/>
      <c r="W655" s="47"/>
      <c r="X655" s="47"/>
      <c r="Y655" s="47"/>
      <c r="Z655" s="47"/>
    </row>
    <row r="656" spans="1:26" ht="12.75" customHeight="1">
      <c r="A656" s="47"/>
      <c r="B656" s="47"/>
      <c r="C656" s="47"/>
      <c r="D656" s="47"/>
      <c r="E656" s="47"/>
      <c r="F656" s="47"/>
      <c r="G656" s="47"/>
      <c r="H656" s="84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47"/>
      <c r="B657" s="47"/>
      <c r="C657" s="47"/>
      <c r="D657" s="47"/>
      <c r="E657" s="47"/>
      <c r="F657" s="47"/>
      <c r="G657" s="47"/>
      <c r="H657" s="84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47"/>
      <c r="B658" s="47"/>
      <c r="C658" s="47"/>
      <c r="D658" s="47"/>
      <c r="E658" s="47"/>
      <c r="F658" s="47"/>
      <c r="G658" s="47"/>
      <c r="H658" s="84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47"/>
      <c r="U658" s="47"/>
      <c r="V658" s="47"/>
      <c r="W658" s="47"/>
      <c r="X658" s="47"/>
      <c r="Y658" s="47"/>
      <c r="Z658" s="47"/>
    </row>
    <row r="659" spans="1:26" ht="12.75" customHeight="1">
      <c r="A659" s="47"/>
      <c r="B659" s="47"/>
      <c r="C659" s="47"/>
      <c r="D659" s="47"/>
      <c r="E659" s="47"/>
      <c r="F659" s="47"/>
      <c r="G659" s="47"/>
      <c r="H659" s="84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47"/>
      <c r="U659" s="47"/>
      <c r="V659" s="47"/>
      <c r="W659" s="47"/>
      <c r="X659" s="47"/>
      <c r="Y659" s="47"/>
      <c r="Z659" s="47"/>
    </row>
    <row r="660" spans="1:26" ht="12.75" customHeight="1">
      <c r="A660" s="47"/>
      <c r="B660" s="47"/>
      <c r="C660" s="47"/>
      <c r="D660" s="47"/>
      <c r="E660" s="47"/>
      <c r="F660" s="47"/>
      <c r="G660" s="47"/>
      <c r="H660" s="84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47"/>
      <c r="U660" s="47"/>
      <c r="V660" s="47"/>
      <c r="W660" s="47"/>
      <c r="X660" s="47"/>
      <c r="Y660" s="47"/>
      <c r="Z660" s="47"/>
    </row>
    <row r="661" spans="1:26" ht="12.75" customHeight="1">
      <c r="A661" s="47"/>
      <c r="B661" s="47"/>
      <c r="C661" s="47"/>
      <c r="D661" s="47"/>
      <c r="E661" s="47"/>
      <c r="F661" s="47"/>
      <c r="G661" s="47"/>
      <c r="H661" s="84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47"/>
      <c r="U661" s="47"/>
      <c r="V661" s="47"/>
      <c r="W661" s="47"/>
      <c r="X661" s="47"/>
      <c r="Y661" s="47"/>
      <c r="Z661" s="47"/>
    </row>
    <row r="662" spans="1:26" ht="12.75" customHeight="1">
      <c r="A662" s="47"/>
      <c r="B662" s="47"/>
      <c r="C662" s="47"/>
      <c r="D662" s="47"/>
      <c r="E662" s="47"/>
      <c r="F662" s="47"/>
      <c r="G662" s="47"/>
      <c r="H662" s="84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47"/>
      <c r="U662" s="47"/>
      <c r="V662" s="47"/>
      <c r="W662" s="47"/>
      <c r="X662" s="47"/>
      <c r="Y662" s="47"/>
      <c r="Z662" s="47"/>
    </row>
    <row r="663" spans="1:26" ht="12.75" customHeight="1">
      <c r="A663" s="47"/>
      <c r="B663" s="47"/>
      <c r="C663" s="47"/>
      <c r="D663" s="47"/>
      <c r="E663" s="47"/>
      <c r="F663" s="47"/>
      <c r="G663" s="47"/>
      <c r="H663" s="84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47"/>
      <c r="U663" s="47"/>
      <c r="V663" s="47"/>
      <c r="W663" s="47"/>
      <c r="X663" s="47"/>
      <c r="Y663" s="47"/>
      <c r="Z663" s="47"/>
    </row>
    <row r="664" spans="1:26" ht="12.75" customHeight="1">
      <c r="A664" s="47"/>
      <c r="B664" s="47"/>
      <c r="C664" s="47"/>
      <c r="D664" s="47"/>
      <c r="E664" s="47"/>
      <c r="F664" s="47"/>
      <c r="G664" s="47"/>
      <c r="H664" s="84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47"/>
      <c r="U664" s="47"/>
      <c r="V664" s="47"/>
      <c r="W664" s="47"/>
      <c r="X664" s="47"/>
      <c r="Y664" s="47"/>
      <c r="Z664" s="47"/>
    </row>
    <row r="665" spans="1:26" ht="12.75" customHeight="1">
      <c r="A665" s="47"/>
      <c r="B665" s="47"/>
      <c r="C665" s="47"/>
      <c r="D665" s="47"/>
      <c r="E665" s="47"/>
      <c r="F665" s="47"/>
      <c r="G665" s="47"/>
      <c r="H665" s="84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47"/>
      <c r="U665" s="47"/>
      <c r="V665" s="47"/>
      <c r="W665" s="47"/>
      <c r="X665" s="47"/>
      <c r="Y665" s="47"/>
      <c r="Z665" s="47"/>
    </row>
    <row r="666" spans="1:26" ht="12.75" customHeight="1">
      <c r="A666" s="47"/>
      <c r="B666" s="47"/>
      <c r="C666" s="47"/>
      <c r="D666" s="47"/>
      <c r="E666" s="47"/>
      <c r="F666" s="47"/>
      <c r="G666" s="47"/>
      <c r="H666" s="84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47"/>
      <c r="U666" s="47"/>
      <c r="V666" s="47"/>
      <c r="W666" s="47"/>
      <c r="X666" s="47"/>
      <c r="Y666" s="47"/>
      <c r="Z666" s="47"/>
    </row>
    <row r="667" spans="1:26" ht="12.75" customHeight="1">
      <c r="A667" s="47"/>
      <c r="B667" s="47"/>
      <c r="C667" s="47"/>
      <c r="D667" s="47"/>
      <c r="E667" s="47"/>
      <c r="F667" s="47"/>
      <c r="G667" s="47"/>
      <c r="H667" s="84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47"/>
      <c r="U667" s="47"/>
      <c r="V667" s="47"/>
      <c r="W667" s="47"/>
      <c r="X667" s="47"/>
      <c r="Y667" s="47"/>
      <c r="Z667" s="47"/>
    </row>
    <row r="668" spans="1:26" ht="12.75" customHeight="1">
      <c r="A668" s="47"/>
      <c r="B668" s="47"/>
      <c r="C668" s="47"/>
      <c r="D668" s="47"/>
      <c r="E668" s="47"/>
      <c r="F668" s="47"/>
      <c r="G668" s="47"/>
      <c r="H668" s="84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47"/>
      <c r="U668" s="47"/>
      <c r="V668" s="47"/>
      <c r="W668" s="47"/>
      <c r="X668" s="47"/>
      <c r="Y668" s="47"/>
      <c r="Z668" s="47"/>
    </row>
    <row r="669" spans="1:26" ht="12.75" customHeight="1">
      <c r="A669" s="47"/>
      <c r="B669" s="47"/>
      <c r="C669" s="47"/>
      <c r="D669" s="47"/>
      <c r="E669" s="47"/>
      <c r="F669" s="47"/>
      <c r="G669" s="47"/>
      <c r="H669" s="84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47"/>
      <c r="U669" s="47"/>
      <c r="V669" s="47"/>
      <c r="W669" s="47"/>
      <c r="X669" s="47"/>
      <c r="Y669" s="47"/>
      <c r="Z669" s="47"/>
    </row>
    <row r="670" spans="1:26" ht="12.75" customHeight="1">
      <c r="A670" s="47"/>
      <c r="B670" s="47"/>
      <c r="C670" s="47"/>
      <c r="D670" s="47"/>
      <c r="E670" s="47"/>
      <c r="F670" s="47"/>
      <c r="G670" s="47"/>
      <c r="H670" s="84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47"/>
      <c r="U670" s="47"/>
      <c r="V670" s="47"/>
      <c r="W670" s="47"/>
      <c r="X670" s="47"/>
      <c r="Y670" s="47"/>
      <c r="Z670" s="47"/>
    </row>
    <row r="671" spans="1:26" ht="12.75" customHeight="1">
      <c r="A671" s="47"/>
      <c r="B671" s="47"/>
      <c r="C671" s="47"/>
      <c r="D671" s="47"/>
      <c r="E671" s="47"/>
      <c r="F671" s="47"/>
      <c r="G671" s="47"/>
      <c r="H671" s="84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47"/>
      <c r="U671" s="47"/>
      <c r="V671" s="47"/>
      <c r="W671" s="47"/>
      <c r="X671" s="47"/>
      <c r="Y671" s="47"/>
      <c r="Z671" s="47"/>
    </row>
    <row r="672" spans="1:26" ht="12.75" customHeight="1">
      <c r="A672" s="47"/>
      <c r="B672" s="47"/>
      <c r="C672" s="47"/>
      <c r="D672" s="47"/>
      <c r="E672" s="47"/>
      <c r="F672" s="47"/>
      <c r="G672" s="47"/>
      <c r="H672" s="84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47"/>
      <c r="U672" s="47"/>
      <c r="V672" s="47"/>
      <c r="W672" s="47"/>
      <c r="X672" s="47"/>
      <c r="Y672" s="47"/>
      <c r="Z672" s="47"/>
    </row>
    <row r="673" spans="1:26" ht="12.75" customHeight="1">
      <c r="A673" s="47"/>
      <c r="B673" s="47"/>
      <c r="C673" s="47"/>
      <c r="D673" s="47"/>
      <c r="E673" s="47"/>
      <c r="F673" s="47"/>
      <c r="G673" s="47"/>
      <c r="H673" s="84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47"/>
      <c r="U673" s="47"/>
      <c r="V673" s="47"/>
      <c r="W673" s="47"/>
      <c r="X673" s="47"/>
      <c r="Y673" s="47"/>
      <c r="Z673" s="47"/>
    </row>
    <row r="674" spans="1:26" ht="12.75" customHeight="1">
      <c r="A674" s="47"/>
      <c r="B674" s="47"/>
      <c r="C674" s="47"/>
      <c r="D674" s="47"/>
      <c r="E674" s="47"/>
      <c r="F674" s="47"/>
      <c r="G674" s="47"/>
      <c r="H674" s="84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47"/>
      <c r="U674" s="47"/>
      <c r="V674" s="47"/>
      <c r="W674" s="47"/>
      <c r="X674" s="47"/>
      <c r="Y674" s="47"/>
      <c r="Z674" s="47"/>
    </row>
    <row r="675" spans="1:26" ht="12.75" customHeight="1">
      <c r="A675" s="47"/>
      <c r="B675" s="47"/>
      <c r="C675" s="47"/>
      <c r="D675" s="47"/>
      <c r="E675" s="47"/>
      <c r="F675" s="47"/>
      <c r="G675" s="47"/>
      <c r="H675" s="84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47"/>
      <c r="U675" s="47"/>
      <c r="V675" s="47"/>
      <c r="W675" s="47"/>
      <c r="X675" s="47"/>
      <c r="Y675" s="47"/>
      <c r="Z675" s="47"/>
    </row>
    <row r="676" spans="1:26" ht="12.75" customHeight="1">
      <c r="A676" s="47"/>
      <c r="B676" s="47"/>
      <c r="C676" s="47"/>
      <c r="D676" s="47"/>
      <c r="E676" s="47"/>
      <c r="F676" s="47"/>
      <c r="G676" s="47"/>
      <c r="H676" s="84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47"/>
      <c r="U676" s="47"/>
      <c r="V676" s="47"/>
      <c r="W676" s="47"/>
      <c r="X676" s="47"/>
      <c r="Y676" s="47"/>
      <c r="Z676" s="47"/>
    </row>
    <row r="677" spans="1:26" ht="12.75" customHeight="1">
      <c r="A677" s="47"/>
      <c r="B677" s="47"/>
      <c r="C677" s="47"/>
      <c r="D677" s="47"/>
      <c r="E677" s="47"/>
      <c r="F677" s="47"/>
      <c r="G677" s="47"/>
      <c r="H677" s="84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47"/>
      <c r="U677" s="47"/>
      <c r="V677" s="47"/>
      <c r="W677" s="47"/>
      <c r="X677" s="47"/>
      <c r="Y677" s="47"/>
      <c r="Z677" s="47"/>
    </row>
    <row r="678" spans="1:26" ht="12.75" customHeight="1">
      <c r="A678" s="47"/>
      <c r="B678" s="47"/>
      <c r="C678" s="47"/>
      <c r="D678" s="47"/>
      <c r="E678" s="47"/>
      <c r="F678" s="47"/>
      <c r="G678" s="47"/>
      <c r="H678" s="84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47"/>
      <c r="U678" s="47"/>
      <c r="V678" s="47"/>
      <c r="W678" s="47"/>
      <c r="X678" s="47"/>
      <c r="Y678" s="47"/>
      <c r="Z678" s="47"/>
    </row>
    <row r="679" spans="1:26" ht="12.75" customHeight="1">
      <c r="A679" s="47"/>
      <c r="B679" s="47"/>
      <c r="C679" s="47"/>
      <c r="D679" s="47"/>
      <c r="E679" s="47"/>
      <c r="F679" s="47"/>
      <c r="G679" s="47"/>
      <c r="H679" s="84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47"/>
      <c r="U679" s="47"/>
      <c r="V679" s="47"/>
      <c r="W679" s="47"/>
      <c r="X679" s="47"/>
      <c r="Y679" s="47"/>
      <c r="Z679" s="47"/>
    </row>
    <row r="680" spans="1:26" ht="12.75" customHeight="1">
      <c r="A680" s="47"/>
      <c r="B680" s="47"/>
      <c r="C680" s="47"/>
      <c r="D680" s="47"/>
      <c r="E680" s="47"/>
      <c r="F680" s="47"/>
      <c r="G680" s="47"/>
      <c r="H680" s="84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47"/>
      <c r="U680" s="47"/>
      <c r="V680" s="47"/>
      <c r="W680" s="47"/>
      <c r="X680" s="47"/>
      <c r="Y680" s="47"/>
      <c r="Z680" s="47"/>
    </row>
    <row r="681" spans="1:26" ht="12.75" customHeight="1">
      <c r="A681" s="47"/>
      <c r="B681" s="47"/>
      <c r="C681" s="47"/>
      <c r="D681" s="47"/>
      <c r="E681" s="47"/>
      <c r="F681" s="47"/>
      <c r="G681" s="47"/>
      <c r="H681" s="84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47"/>
      <c r="U681" s="47"/>
      <c r="V681" s="47"/>
      <c r="W681" s="47"/>
      <c r="X681" s="47"/>
      <c r="Y681" s="47"/>
      <c r="Z681" s="47"/>
    </row>
    <row r="682" spans="1:26" ht="12.75" customHeight="1">
      <c r="A682" s="47"/>
      <c r="B682" s="47"/>
      <c r="C682" s="47"/>
      <c r="D682" s="47"/>
      <c r="E682" s="47"/>
      <c r="F682" s="47"/>
      <c r="G682" s="47"/>
      <c r="H682" s="84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47"/>
      <c r="U682" s="47"/>
      <c r="V682" s="47"/>
      <c r="W682" s="47"/>
      <c r="X682" s="47"/>
      <c r="Y682" s="47"/>
      <c r="Z682" s="47"/>
    </row>
    <row r="683" spans="1:26" ht="12.75" customHeight="1">
      <c r="A683" s="47"/>
      <c r="B683" s="47"/>
      <c r="C683" s="47"/>
      <c r="D683" s="47"/>
      <c r="E683" s="47"/>
      <c r="F683" s="47"/>
      <c r="G683" s="47"/>
      <c r="H683" s="84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47"/>
      <c r="U683" s="47"/>
      <c r="V683" s="47"/>
      <c r="W683" s="47"/>
      <c r="X683" s="47"/>
      <c r="Y683" s="47"/>
      <c r="Z683" s="47"/>
    </row>
    <row r="684" spans="1:26" ht="12.75" customHeight="1">
      <c r="A684" s="47"/>
      <c r="B684" s="47"/>
      <c r="C684" s="47"/>
      <c r="D684" s="47"/>
      <c r="E684" s="47"/>
      <c r="F684" s="47"/>
      <c r="G684" s="47"/>
      <c r="H684" s="84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47"/>
      <c r="U684" s="47"/>
      <c r="V684" s="47"/>
      <c r="W684" s="47"/>
      <c r="X684" s="47"/>
      <c r="Y684" s="47"/>
      <c r="Z684" s="47"/>
    </row>
    <row r="685" spans="1:26" ht="12.75" customHeight="1">
      <c r="A685" s="47"/>
      <c r="B685" s="47"/>
      <c r="C685" s="47"/>
      <c r="D685" s="47"/>
      <c r="E685" s="47"/>
      <c r="F685" s="47"/>
      <c r="G685" s="47"/>
      <c r="H685" s="84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47"/>
      <c r="U685" s="47"/>
      <c r="V685" s="47"/>
      <c r="W685" s="47"/>
      <c r="X685" s="47"/>
      <c r="Y685" s="47"/>
      <c r="Z685" s="47"/>
    </row>
    <row r="686" spans="1:26" ht="12.75" customHeight="1">
      <c r="A686" s="47"/>
      <c r="B686" s="47"/>
      <c r="C686" s="47"/>
      <c r="D686" s="47"/>
      <c r="E686" s="47"/>
      <c r="F686" s="47"/>
      <c r="G686" s="47"/>
      <c r="H686" s="84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47"/>
      <c r="U686" s="47"/>
      <c r="V686" s="47"/>
      <c r="W686" s="47"/>
      <c r="X686" s="47"/>
      <c r="Y686" s="47"/>
      <c r="Z686" s="47"/>
    </row>
    <row r="687" spans="1:26" ht="12.75" customHeight="1">
      <c r="A687" s="47"/>
      <c r="B687" s="47"/>
      <c r="C687" s="47"/>
      <c r="D687" s="47"/>
      <c r="E687" s="47"/>
      <c r="F687" s="47"/>
      <c r="G687" s="47"/>
      <c r="H687" s="84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47"/>
      <c r="U687" s="47"/>
      <c r="V687" s="47"/>
      <c r="W687" s="47"/>
      <c r="X687" s="47"/>
      <c r="Y687" s="47"/>
      <c r="Z687" s="47"/>
    </row>
    <row r="688" spans="1:26" ht="12.75" customHeight="1">
      <c r="A688" s="47"/>
      <c r="B688" s="47"/>
      <c r="C688" s="47"/>
      <c r="D688" s="47"/>
      <c r="E688" s="47"/>
      <c r="F688" s="47"/>
      <c r="G688" s="47"/>
      <c r="H688" s="84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47"/>
      <c r="U688" s="47"/>
      <c r="V688" s="47"/>
      <c r="W688" s="47"/>
      <c r="X688" s="47"/>
      <c r="Y688" s="47"/>
      <c r="Z688" s="47"/>
    </row>
    <row r="689" spans="1:26" ht="12.75" customHeight="1">
      <c r="A689" s="47"/>
      <c r="B689" s="47"/>
      <c r="C689" s="47"/>
      <c r="D689" s="47"/>
      <c r="E689" s="47"/>
      <c r="F689" s="47"/>
      <c r="G689" s="47"/>
      <c r="H689" s="84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47"/>
      <c r="U689" s="47"/>
      <c r="V689" s="47"/>
      <c r="W689" s="47"/>
      <c r="X689" s="47"/>
      <c r="Y689" s="47"/>
      <c r="Z689" s="47"/>
    </row>
    <row r="690" spans="1:26" ht="12.75" customHeight="1">
      <c r="A690" s="47"/>
      <c r="B690" s="47"/>
      <c r="C690" s="47"/>
      <c r="D690" s="47"/>
      <c r="E690" s="47"/>
      <c r="F690" s="47"/>
      <c r="G690" s="47"/>
      <c r="H690" s="84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47"/>
      <c r="U690" s="47"/>
      <c r="V690" s="47"/>
      <c r="W690" s="47"/>
      <c r="X690" s="47"/>
      <c r="Y690" s="47"/>
      <c r="Z690" s="47"/>
    </row>
    <row r="691" spans="1:26" ht="12.75" customHeight="1">
      <c r="A691" s="47"/>
      <c r="B691" s="47"/>
      <c r="C691" s="47"/>
      <c r="D691" s="47"/>
      <c r="E691" s="47"/>
      <c r="F691" s="47"/>
      <c r="G691" s="47"/>
      <c r="H691" s="84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47"/>
      <c r="U691" s="47"/>
      <c r="V691" s="47"/>
      <c r="W691" s="47"/>
      <c r="X691" s="47"/>
      <c r="Y691" s="47"/>
      <c r="Z691" s="47"/>
    </row>
    <row r="692" spans="1:26" ht="12.75" customHeight="1">
      <c r="A692" s="47"/>
      <c r="B692" s="47"/>
      <c r="C692" s="47"/>
      <c r="D692" s="47"/>
      <c r="E692" s="47"/>
      <c r="F692" s="47"/>
      <c r="G692" s="47"/>
      <c r="H692" s="84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47"/>
      <c r="U692" s="47"/>
      <c r="V692" s="47"/>
      <c r="W692" s="47"/>
      <c r="X692" s="47"/>
      <c r="Y692" s="47"/>
      <c r="Z692" s="47"/>
    </row>
    <row r="693" spans="1:26" ht="12.75" customHeight="1">
      <c r="A693" s="47"/>
      <c r="B693" s="47"/>
      <c r="C693" s="47"/>
      <c r="D693" s="47"/>
      <c r="E693" s="47"/>
      <c r="F693" s="47"/>
      <c r="G693" s="47"/>
      <c r="H693" s="84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47"/>
      <c r="U693" s="47"/>
      <c r="V693" s="47"/>
      <c r="W693" s="47"/>
      <c r="X693" s="47"/>
      <c r="Y693" s="47"/>
      <c r="Z693" s="47"/>
    </row>
    <row r="694" spans="1:26" ht="12.75" customHeight="1">
      <c r="A694" s="47"/>
      <c r="B694" s="47"/>
      <c r="C694" s="47"/>
      <c r="D694" s="47"/>
      <c r="E694" s="47"/>
      <c r="F694" s="47"/>
      <c r="G694" s="47"/>
      <c r="H694" s="84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47"/>
      <c r="U694" s="47"/>
      <c r="V694" s="47"/>
      <c r="W694" s="47"/>
      <c r="X694" s="47"/>
      <c r="Y694" s="47"/>
      <c r="Z694" s="47"/>
    </row>
    <row r="695" spans="1:26" ht="12.75" customHeight="1">
      <c r="A695" s="47"/>
      <c r="B695" s="47"/>
      <c r="C695" s="47"/>
      <c r="D695" s="47"/>
      <c r="E695" s="47"/>
      <c r="F695" s="47"/>
      <c r="G695" s="47"/>
      <c r="H695" s="84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47"/>
      <c r="U695" s="47"/>
      <c r="V695" s="47"/>
      <c r="W695" s="47"/>
      <c r="X695" s="47"/>
      <c r="Y695" s="47"/>
      <c r="Z695" s="47"/>
    </row>
    <row r="696" spans="1:26" ht="12.75" customHeight="1">
      <c r="A696" s="47"/>
      <c r="B696" s="47"/>
      <c r="C696" s="47"/>
      <c r="D696" s="47"/>
      <c r="E696" s="47"/>
      <c r="F696" s="47"/>
      <c r="G696" s="47"/>
      <c r="H696" s="84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47"/>
      <c r="U696" s="47"/>
      <c r="V696" s="47"/>
      <c r="W696" s="47"/>
      <c r="X696" s="47"/>
      <c r="Y696" s="47"/>
      <c r="Z696" s="47"/>
    </row>
    <row r="697" spans="1:26" ht="12.75" customHeight="1">
      <c r="A697" s="47"/>
      <c r="B697" s="47"/>
      <c r="C697" s="47"/>
      <c r="D697" s="47"/>
      <c r="E697" s="47"/>
      <c r="F697" s="47"/>
      <c r="G697" s="47"/>
      <c r="H697" s="84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47"/>
      <c r="U697" s="47"/>
      <c r="V697" s="47"/>
      <c r="W697" s="47"/>
      <c r="X697" s="47"/>
      <c r="Y697" s="47"/>
      <c r="Z697" s="47"/>
    </row>
    <row r="698" spans="1:26" ht="12.75" customHeight="1">
      <c r="A698" s="47"/>
      <c r="B698" s="47"/>
      <c r="C698" s="47"/>
      <c r="D698" s="47"/>
      <c r="E698" s="47"/>
      <c r="F698" s="47"/>
      <c r="G698" s="47"/>
      <c r="H698" s="84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47"/>
      <c r="U698" s="47"/>
      <c r="V698" s="47"/>
      <c r="W698" s="47"/>
      <c r="X698" s="47"/>
      <c r="Y698" s="47"/>
      <c r="Z698" s="47"/>
    </row>
    <row r="699" spans="1:26" ht="12.75" customHeight="1">
      <c r="A699" s="47"/>
      <c r="B699" s="47"/>
      <c r="C699" s="47"/>
      <c r="D699" s="47"/>
      <c r="E699" s="47"/>
      <c r="F699" s="47"/>
      <c r="G699" s="47"/>
      <c r="H699" s="84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47"/>
      <c r="U699" s="47"/>
      <c r="V699" s="47"/>
      <c r="W699" s="47"/>
      <c r="X699" s="47"/>
      <c r="Y699" s="47"/>
      <c r="Z699" s="47"/>
    </row>
    <row r="700" spans="1:26" ht="12.75" customHeight="1">
      <c r="A700" s="47"/>
      <c r="B700" s="47"/>
      <c r="C700" s="47"/>
      <c r="D700" s="47"/>
      <c r="E700" s="47"/>
      <c r="F700" s="47"/>
      <c r="G700" s="47"/>
      <c r="H700" s="84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47"/>
      <c r="U700" s="47"/>
      <c r="V700" s="47"/>
      <c r="W700" s="47"/>
      <c r="X700" s="47"/>
      <c r="Y700" s="47"/>
      <c r="Z700" s="47"/>
    </row>
    <row r="701" spans="1:26" ht="12.75" customHeight="1">
      <c r="A701" s="47"/>
      <c r="B701" s="47"/>
      <c r="C701" s="47"/>
      <c r="D701" s="47"/>
      <c r="E701" s="47"/>
      <c r="F701" s="47"/>
      <c r="G701" s="47"/>
      <c r="H701" s="84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47"/>
      <c r="U701" s="47"/>
      <c r="V701" s="47"/>
      <c r="W701" s="47"/>
      <c r="X701" s="47"/>
      <c r="Y701" s="47"/>
      <c r="Z701" s="47"/>
    </row>
    <row r="702" spans="1:26" ht="12.75" customHeight="1">
      <c r="A702" s="47"/>
      <c r="B702" s="47"/>
      <c r="C702" s="47"/>
      <c r="D702" s="47"/>
      <c r="E702" s="47"/>
      <c r="F702" s="47"/>
      <c r="G702" s="47"/>
      <c r="H702" s="84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47"/>
      <c r="U702" s="47"/>
      <c r="V702" s="47"/>
      <c r="W702" s="47"/>
      <c r="X702" s="47"/>
      <c r="Y702" s="47"/>
      <c r="Z702" s="47"/>
    </row>
    <row r="703" spans="1:26" ht="12.75" customHeight="1">
      <c r="A703" s="47"/>
      <c r="B703" s="47"/>
      <c r="C703" s="47"/>
      <c r="D703" s="47"/>
      <c r="E703" s="47"/>
      <c r="F703" s="47"/>
      <c r="G703" s="47"/>
      <c r="H703" s="84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47"/>
      <c r="U703" s="47"/>
      <c r="V703" s="47"/>
      <c r="W703" s="47"/>
      <c r="X703" s="47"/>
      <c r="Y703" s="47"/>
      <c r="Z703" s="47"/>
    </row>
    <row r="704" spans="1:26" ht="12.75" customHeight="1">
      <c r="A704" s="47"/>
      <c r="B704" s="47"/>
      <c r="C704" s="47"/>
      <c r="D704" s="47"/>
      <c r="E704" s="47"/>
      <c r="F704" s="47"/>
      <c r="G704" s="47"/>
      <c r="H704" s="84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47"/>
      <c r="U704" s="47"/>
      <c r="V704" s="47"/>
      <c r="W704" s="47"/>
      <c r="X704" s="47"/>
      <c r="Y704" s="47"/>
      <c r="Z704" s="47"/>
    </row>
    <row r="705" spans="1:26" ht="12.75" customHeight="1">
      <c r="A705" s="47"/>
      <c r="B705" s="47"/>
      <c r="C705" s="47"/>
      <c r="D705" s="47"/>
      <c r="E705" s="47"/>
      <c r="F705" s="47"/>
      <c r="G705" s="47"/>
      <c r="H705" s="84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47"/>
      <c r="U705" s="47"/>
      <c r="V705" s="47"/>
      <c r="W705" s="47"/>
      <c r="X705" s="47"/>
      <c r="Y705" s="47"/>
      <c r="Z705" s="47"/>
    </row>
    <row r="706" spans="1:26" ht="12.75" customHeight="1">
      <c r="A706" s="47"/>
      <c r="B706" s="47"/>
      <c r="C706" s="47"/>
      <c r="D706" s="47"/>
      <c r="E706" s="47"/>
      <c r="F706" s="47"/>
      <c r="G706" s="47"/>
      <c r="H706" s="84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47"/>
      <c r="U706" s="47"/>
      <c r="V706" s="47"/>
      <c r="W706" s="47"/>
      <c r="X706" s="47"/>
      <c r="Y706" s="47"/>
      <c r="Z706" s="47"/>
    </row>
    <row r="707" spans="1:26" ht="12.75" customHeight="1">
      <c r="A707" s="47"/>
      <c r="B707" s="47"/>
      <c r="C707" s="47"/>
      <c r="D707" s="47"/>
      <c r="E707" s="47"/>
      <c r="F707" s="47"/>
      <c r="G707" s="47"/>
      <c r="H707" s="84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47"/>
      <c r="U707" s="47"/>
      <c r="V707" s="47"/>
      <c r="W707" s="47"/>
      <c r="X707" s="47"/>
      <c r="Y707" s="47"/>
      <c r="Z707" s="47"/>
    </row>
    <row r="708" spans="1:26" ht="12.75" customHeight="1">
      <c r="A708" s="47"/>
      <c r="B708" s="47"/>
      <c r="C708" s="47"/>
      <c r="D708" s="47"/>
      <c r="E708" s="47"/>
      <c r="F708" s="47"/>
      <c r="G708" s="47"/>
      <c r="H708" s="84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47"/>
      <c r="U708" s="47"/>
      <c r="V708" s="47"/>
      <c r="W708" s="47"/>
      <c r="X708" s="47"/>
      <c r="Y708" s="47"/>
      <c r="Z708" s="47"/>
    </row>
    <row r="709" spans="1:26" ht="12.75" customHeight="1">
      <c r="A709" s="47"/>
      <c r="B709" s="47"/>
      <c r="C709" s="47"/>
      <c r="D709" s="47"/>
      <c r="E709" s="47"/>
      <c r="F709" s="47"/>
      <c r="G709" s="47"/>
      <c r="H709" s="84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47"/>
      <c r="U709" s="47"/>
      <c r="V709" s="47"/>
      <c r="W709" s="47"/>
      <c r="X709" s="47"/>
      <c r="Y709" s="47"/>
      <c r="Z709" s="47"/>
    </row>
    <row r="710" spans="1:26" ht="12.75" customHeight="1">
      <c r="A710" s="47"/>
      <c r="B710" s="47"/>
      <c r="C710" s="47"/>
      <c r="D710" s="47"/>
      <c r="E710" s="47"/>
      <c r="F710" s="47"/>
      <c r="G710" s="47"/>
      <c r="H710" s="84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47"/>
      <c r="U710" s="47"/>
      <c r="V710" s="47"/>
      <c r="W710" s="47"/>
      <c r="X710" s="47"/>
      <c r="Y710" s="47"/>
      <c r="Z710" s="47"/>
    </row>
    <row r="711" spans="1:26" ht="12.75" customHeight="1">
      <c r="A711" s="47"/>
      <c r="B711" s="47"/>
      <c r="C711" s="47"/>
      <c r="D711" s="47"/>
      <c r="E711" s="47"/>
      <c r="F711" s="47"/>
      <c r="G711" s="47"/>
      <c r="H711" s="84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47"/>
      <c r="U711" s="47"/>
      <c r="V711" s="47"/>
      <c r="W711" s="47"/>
      <c r="X711" s="47"/>
      <c r="Y711" s="47"/>
      <c r="Z711" s="47"/>
    </row>
    <row r="712" spans="1:26" ht="12.75" customHeight="1">
      <c r="A712" s="47"/>
      <c r="B712" s="47"/>
      <c r="C712" s="47"/>
      <c r="D712" s="47"/>
      <c r="E712" s="47"/>
      <c r="F712" s="47"/>
      <c r="G712" s="47"/>
      <c r="H712" s="84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47"/>
      <c r="U712" s="47"/>
      <c r="V712" s="47"/>
      <c r="W712" s="47"/>
      <c r="X712" s="47"/>
      <c r="Y712" s="47"/>
      <c r="Z712" s="47"/>
    </row>
    <row r="713" spans="1:26" ht="12.75" customHeight="1">
      <c r="A713" s="47"/>
      <c r="B713" s="47"/>
      <c r="C713" s="47"/>
      <c r="D713" s="47"/>
      <c r="E713" s="47"/>
      <c r="F713" s="47"/>
      <c r="G713" s="47"/>
      <c r="H713" s="84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47"/>
      <c r="U713" s="47"/>
      <c r="V713" s="47"/>
      <c r="W713" s="47"/>
      <c r="X713" s="47"/>
      <c r="Y713" s="47"/>
      <c r="Z713" s="47"/>
    </row>
    <row r="714" spans="1:26" ht="12.75" customHeight="1">
      <c r="A714" s="47"/>
      <c r="B714" s="47"/>
      <c r="C714" s="47"/>
      <c r="D714" s="47"/>
      <c r="E714" s="47"/>
      <c r="F714" s="47"/>
      <c r="G714" s="47"/>
      <c r="H714" s="84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47"/>
      <c r="U714" s="47"/>
      <c r="V714" s="47"/>
      <c r="W714" s="47"/>
      <c r="X714" s="47"/>
      <c r="Y714" s="47"/>
      <c r="Z714" s="47"/>
    </row>
    <row r="715" spans="1:26" ht="12.75" customHeight="1">
      <c r="A715" s="47"/>
      <c r="B715" s="47"/>
      <c r="C715" s="47"/>
      <c r="D715" s="47"/>
      <c r="E715" s="47"/>
      <c r="F715" s="47"/>
      <c r="G715" s="47"/>
      <c r="H715" s="84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47"/>
      <c r="U715" s="47"/>
      <c r="V715" s="47"/>
      <c r="W715" s="47"/>
      <c r="X715" s="47"/>
      <c r="Y715" s="47"/>
      <c r="Z715" s="47"/>
    </row>
    <row r="716" spans="1:26" ht="12.75" customHeight="1">
      <c r="A716" s="47"/>
      <c r="B716" s="47"/>
      <c r="C716" s="47"/>
      <c r="D716" s="47"/>
      <c r="E716" s="47"/>
      <c r="F716" s="47"/>
      <c r="G716" s="47"/>
      <c r="H716" s="84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47"/>
      <c r="U716" s="47"/>
      <c r="V716" s="47"/>
      <c r="W716" s="47"/>
      <c r="X716" s="47"/>
      <c r="Y716" s="47"/>
      <c r="Z716" s="47"/>
    </row>
    <row r="717" spans="1:26" ht="12.75" customHeight="1">
      <c r="A717" s="47"/>
      <c r="B717" s="47"/>
      <c r="C717" s="47"/>
      <c r="D717" s="47"/>
      <c r="E717" s="47"/>
      <c r="F717" s="47"/>
      <c r="G717" s="47"/>
      <c r="H717" s="84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47"/>
      <c r="U717" s="47"/>
      <c r="V717" s="47"/>
      <c r="W717" s="47"/>
      <c r="X717" s="47"/>
      <c r="Y717" s="47"/>
      <c r="Z717" s="47"/>
    </row>
    <row r="718" spans="1:26" ht="12.75" customHeight="1">
      <c r="A718" s="47"/>
      <c r="B718" s="47"/>
      <c r="C718" s="47"/>
      <c r="D718" s="47"/>
      <c r="E718" s="47"/>
      <c r="F718" s="47"/>
      <c r="G718" s="47"/>
      <c r="H718" s="84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47"/>
      <c r="U718" s="47"/>
      <c r="V718" s="47"/>
      <c r="W718" s="47"/>
      <c r="X718" s="47"/>
      <c r="Y718" s="47"/>
      <c r="Z718" s="47"/>
    </row>
    <row r="719" spans="1:26" ht="12.75" customHeight="1">
      <c r="A719" s="47"/>
      <c r="B719" s="47"/>
      <c r="C719" s="47"/>
      <c r="D719" s="47"/>
      <c r="E719" s="47"/>
      <c r="F719" s="47"/>
      <c r="G719" s="47"/>
      <c r="H719" s="84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47"/>
      <c r="U719" s="47"/>
      <c r="V719" s="47"/>
      <c r="W719" s="47"/>
      <c r="X719" s="47"/>
      <c r="Y719" s="47"/>
      <c r="Z719" s="47"/>
    </row>
    <row r="720" spans="1:26" ht="12.75" customHeight="1">
      <c r="A720" s="47"/>
      <c r="B720" s="47"/>
      <c r="C720" s="47"/>
      <c r="D720" s="47"/>
      <c r="E720" s="47"/>
      <c r="F720" s="47"/>
      <c r="G720" s="47"/>
      <c r="H720" s="84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47"/>
      <c r="U720" s="47"/>
      <c r="V720" s="47"/>
      <c r="W720" s="47"/>
      <c r="X720" s="47"/>
      <c r="Y720" s="47"/>
      <c r="Z720" s="47"/>
    </row>
    <row r="721" spans="1:26" ht="12.75" customHeight="1">
      <c r="A721" s="47"/>
      <c r="B721" s="47"/>
      <c r="C721" s="47"/>
      <c r="D721" s="47"/>
      <c r="E721" s="47"/>
      <c r="F721" s="47"/>
      <c r="G721" s="47"/>
      <c r="H721" s="84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47"/>
      <c r="U721" s="47"/>
      <c r="V721" s="47"/>
      <c r="W721" s="47"/>
      <c r="X721" s="47"/>
      <c r="Y721" s="47"/>
      <c r="Z721" s="47"/>
    </row>
    <row r="722" spans="1:26" ht="12.75" customHeight="1">
      <c r="A722" s="47"/>
      <c r="B722" s="47"/>
      <c r="C722" s="47"/>
      <c r="D722" s="47"/>
      <c r="E722" s="47"/>
      <c r="F722" s="47"/>
      <c r="G722" s="47"/>
      <c r="H722" s="84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47"/>
      <c r="U722" s="47"/>
      <c r="V722" s="47"/>
      <c r="W722" s="47"/>
      <c r="X722" s="47"/>
      <c r="Y722" s="47"/>
      <c r="Z722" s="47"/>
    </row>
    <row r="723" spans="1:26" ht="12.75" customHeight="1">
      <c r="A723" s="47"/>
      <c r="B723" s="47"/>
      <c r="C723" s="47"/>
      <c r="D723" s="47"/>
      <c r="E723" s="47"/>
      <c r="F723" s="47"/>
      <c r="G723" s="47"/>
      <c r="H723" s="84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47"/>
      <c r="U723" s="47"/>
      <c r="V723" s="47"/>
      <c r="W723" s="47"/>
      <c r="X723" s="47"/>
      <c r="Y723" s="47"/>
      <c r="Z723" s="47"/>
    </row>
    <row r="724" spans="1:26" ht="12.75" customHeight="1">
      <c r="A724" s="47"/>
      <c r="B724" s="47"/>
      <c r="C724" s="47"/>
      <c r="D724" s="47"/>
      <c r="E724" s="47"/>
      <c r="F724" s="47"/>
      <c r="G724" s="47"/>
      <c r="H724" s="84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47"/>
      <c r="U724" s="47"/>
      <c r="V724" s="47"/>
      <c r="W724" s="47"/>
      <c r="X724" s="47"/>
      <c r="Y724" s="47"/>
      <c r="Z724" s="47"/>
    </row>
    <row r="725" spans="1:26" ht="12.75" customHeight="1">
      <c r="A725" s="47"/>
      <c r="B725" s="47"/>
      <c r="C725" s="47"/>
      <c r="D725" s="47"/>
      <c r="E725" s="47"/>
      <c r="F725" s="47"/>
      <c r="G725" s="47"/>
      <c r="H725" s="84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47"/>
      <c r="U725" s="47"/>
      <c r="V725" s="47"/>
      <c r="W725" s="47"/>
      <c r="X725" s="47"/>
      <c r="Y725" s="47"/>
      <c r="Z725" s="47"/>
    </row>
    <row r="726" spans="1:26" ht="12.75" customHeight="1">
      <c r="A726" s="47"/>
      <c r="B726" s="47"/>
      <c r="C726" s="47"/>
      <c r="D726" s="47"/>
      <c r="E726" s="47"/>
      <c r="F726" s="47"/>
      <c r="G726" s="47"/>
      <c r="H726" s="84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47"/>
      <c r="U726" s="47"/>
      <c r="V726" s="47"/>
      <c r="W726" s="47"/>
      <c r="X726" s="47"/>
      <c r="Y726" s="47"/>
      <c r="Z726" s="47"/>
    </row>
    <row r="727" spans="1:26" ht="12.75" customHeight="1">
      <c r="A727" s="47"/>
      <c r="B727" s="47"/>
      <c r="C727" s="47"/>
      <c r="D727" s="47"/>
      <c r="E727" s="47"/>
      <c r="F727" s="47"/>
      <c r="G727" s="47"/>
      <c r="H727" s="84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47"/>
      <c r="U727" s="47"/>
      <c r="V727" s="47"/>
      <c r="W727" s="47"/>
      <c r="X727" s="47"/>
      <c r="Y727" s="47"/>
      <c r="Z727" s="47"/>
    </row>
    <row r="728" spans="1:26" ht="12.75" customHeight="1">
      <c r="A728" s="47"/>
      <c r="B728" s="47"/>
      <c r="C728" s="47"/>
      <c r="D728" s="47"/>
      <c r="E728" s="47"/>
      <c r="F728" s="47"/>
      <c r="G728" s="47"/>
      <c r="H728" s="84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47"/>
      <c r="U728" s="47"/>
      <c r="V728" s="47"/>
      <c r="W728" s="47"/>
      <c r="X728" s="47"/>
      <c r="Y728" s="47"/>
      <c r="Z728" s="47"/>
    </row>
    <row r="729" spans="1:26" ht="12.75" customHeight="1">
      <c r="A729" s="47"/>
      <c r="B729" s="47"/>
      <c r="C729" s="47"/>
      <c r="D729" s="47"/>
      <c r="E729" s="47"/>
      <c r="F729" s="47"/>
      <c r="G729" s="47"/>
      <c r="H729" s="84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47"/>
      <c r="U729" s="47"/>
      <c r="V729" s="47"/>
      <c r="W729" s="47"/>
      <c r="X729" s="47"/>
      <c r="Y729" s="47"/>
      <c r="Z729" s="47"/>
    </row>
    <row r="730" spans="1:26" ht="12.75" customHeight="1">
      <c r="A730" s="47"/>
      <c r="B730" s="47"/>
      <c r="C730" s="47"/>
      <c r="D730" s="47"/>
      <c r="E730" s="47"/>
      <c r="F730" s="47"/>
      <c r="G730" s="47"/>
      <c r="H730" s="84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47"/>
      <c r="U730" s="47"/>
      <c r="V730" s="47"/>
      <c r="W730" s="47"/>
      <c r="X730" s="47"/>
      <c r="Y730" s="47"/>
      <c r="Z730" s="47"/>
    </row>
    <row r="731" spans="1:26" ht="12.75" customHeight="1">
      <c r="A731" s="47"/>
      <c r="B731" s="47"/>
      <c r="C731" s="47"/>
      <c r="D731" s="47"/>
      <c r="E731" s="47"/>
      <c r="F731" s="47"/>
      <c r="G731" s="47"/>
      <c r="H731" s="84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47"/>
      <c r="U731" s="47"/>
      <c r="V731" s="47"/>
      <c r="W731" s="47"/>
      <c r="X731" s="47"/>
      <c r="Y731" s="47"/>
      <c r="Z731" s="47"/>
    </row>
    <row r="732" spans="1:26" ht="12.75" customHeight="1">
      <c r="A732" s="47"/>
      <c r="B732" s="47"/>
      <c r="C732" s="47"/>
      <c r="D732" s="47"/>
      <c r="E732" s="47"/>
      <c r="F732" s="47"/>
      <c r="G732" s="47"/>
      <c r="H732" s="84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47"/>
      <c r="U732" s="47"/>
      <c r="V732" s="47"/>
      <c r="W732" s="47"/>
      <c r="X732" s="47"/>
      <c r="Y732" s="47"/>
      <c r="Z732" s="47"/>
    </row>
    <row r="733" spans="1:26" ht="12.75" customHeight="1">
      <c r="A733" s="47"/>
      <c r="B733" s="47"/>
      <c r="C733" s="47"/>
      <c r="D733" s="47"/>
      <c r="E733" s="47"/>
      <c r="F733" s="47"/>
      <c r="G733" s="47"/>
      <c r="H733" s="84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47"/>
      <c r="U733" s="47"/>
      <c r="V733" s="47"/>
      <c r="W733" s="47"/>
      <c r="X733" s="47"/>
      <c r="Y733" s="47"/>
      <c r="Z733" s="47"/>
    </row>
    <row r="734" spans="1:26" ht="12.75" customHeight="1">
      <c r="A734" s="47"/>
      <c r="B734" s="47"/>
      <c r="C734" s="47"/>
      <c r="D734" s="47"/>
      <c r="E734" s="47"/>
      <c r="F734" s="47"/>
      <c r="G734" s="47"/>
      <c r="H734" s="84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47"/>
      <c r="U734" s="47"/>
      <c r="V734" s="47"/>
      <c r="W734" s="47"/>
      <c r="X734" s="47"/>
      <c r="Y734" s="47"/>
      <c r="Z734" s="47"/>
    </row>
    <row r="735" spans="1:26" ht="12.75" customHeight="1">
      <c r="A735" s="47"/>
      <c r="B735" s="47"/>
      <c r="C735" s="47"/>
      <c r="D735" s="47"/>
      <c r="E735" s="47"/>
      <c r="F735" s="47"/>
      <c r="G735" s="47"/>
      <c r="H735" s="84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47"/>
      <c r="U735" s="47"/>
      <c r="V735" s="47"/>
      <c r="W735" s="47"/>
      <c r="X735" s="47"/>
      <c r="Y735" s="47"/>
      <c r="Z735" s="47"/>
    </row>
    <row r="736" spans="1:26" ht="12.75" customHeight="1">
      <c r="A736" s="47"/>
      <c r="B736" s="47"/>
      <c r="C736" s="47"/>
      <c r="D736" s="47"/>
      <c r="E736" s="47"/>
      <c r="F736" s="47"/>
      <c r="G736" s="47"/>
      <c r="H736" s="84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47"/>
      <c r="U736" s="47"/>
      <c r="V736" s="47"/>
      <c r="W736" s="47"/>
      <c r="X736" s="47"/>
      <c r="Y736" s="47"/>
      <c r="Z736" s="47"/>
    </row>
    <row r="737" spans="1:26" ht="12.75" customHeight="1">
      <c r="A737" s="47"/>
      <c r="B737" s="47"/>
      <c r="C737" s="47"/>
      <c r="D737" s="47"/>
      <c r="E737" s="47"/>
      <c r="F737" s="47"/>
      <c r="G737" s="47"/>
      <c r="H737" s="84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47"/>
      <c r="U737" s="47"/>
      <c r="V737" s="47"/>
      <c r="W737" s="47"/>
      <c r="X737" s="47"/>
      <c r="Y737" s="47"/>
      <c r="Z737" s="47"/>
    </row>
    <row r="738" spans="1:26" ht="12.75" customHeight="1">
      <c r="A738" s="47"/>
      <c r="B738" s="47"/>
      <c r="C738" s="47"/>
      <c r="D738" s="47"/>
      <c r="E738" s="47"/>
      <c r="F738" s="47"/>
      <c r="G738" s="47"/>
      <c r="H738" s="84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47"/>
      <c r="U738" s="47"/>
      <c r="V738" s="47"/>
      <c r="W738" s="47"/>
      <c r="X738" s="47"/>
      <c r="Y738" s="47"/>
      <c r="Z738" s="47"/>
    </row>
    <row r="739" spans="1:26" ht="12.75" customHeight="1">
      <c r="A739" s="47"/>
      <c r="B739" s="47"/>
      <c r="C739" s="47"/>
      <c r="D739" s="47"/>
      <c r="E739" s="47"/>
      <c r="F739" s="47"/>
      <c r="G739" s="47"/>
      <c r="H739" s="84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47"/>
      <c r="U739" s="47"/>
      <c r="V739" s="47"/>
      <c r="W739" s="47"/>
      <c r="X739" s="47"/>
      <c r="Y739" s="47"/>
      <c r="Z739" s="47"/>
    </row>
    <row r="740" spans="1:26" ht="12.75" customHeight="1">
      <c r="A740" s="47"/>
      <c r="B740" s="47"/>
      <c r="C740" s="47"/>
      <c r="D740" s="47"/>
      <c r="E740" s="47"/>
      <c r="F740" s="47"/>
      <c r="G740" s="47"/>
      <c r="H740" s="84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47"/>
      <c r="U740" s="47"/>
      <c r="V740" s="47"/>
      <c r="W740" s="47"/>
      <c r="X740" s="47"/>
      <c r="Y740" s="47"/>
      <c r="Z740" s="47"/>
    </row>
    <row r="741" spans="1:26" ht="12.75" customHeight="1">
      <c r="A741" s="47"/>
      <c r="B741" s="47"/>
      <c r="C741" s="47"/>
      <c r="D741" s="47"/>
      <c r="E741" s="47"/>
      <c r="F741" s="47"/>
      <c r="G741" s="47"/>
      <c r="H741" s="84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47"/>
      <c r="U741" s="47"/>
      <c r="V741" s="47"/>
      <c r="W741" s="47"/>
      <c r="X741" s="47"/>
      <c r="Y741" s="47"/>
      <c r="Z741" s="47"/>
    </row>
    <row r="742" spans="1:26" ht="12.75" customHeight="1">
      <c r="A742" s="47"/>
      <c r="B742" s="47"/>
      <c r="C742" s="47"/>
      <c r="D742" s="47"/>
      <c r="E742" s="47"/>
      <c r="F742" s="47"/>
      <c r="G742" s="47"/>
      <c r="H742" s="84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47"/>
      <c r="U742" s="47"/>
      <c r="V742" s="47"/>
      <c r="W742" s="47"/>
      <c r="X742" s="47"/>
      <c r="Y742" s="47"/>
      <c r="Z742" s="47"/>
    </row>
    <row r="743" spans="1:26" ht="12.75" customHeight="1">
      <c r="A743" s="47"/>
      <c r="B743" s="47"/>
      <c r="C743" s="47"/>
      <c r="D743" s="47"/>
      <c r="E743" s="47"/>
      <c r="F743" s="47"/>
      <c r="G743" s="47"/>
      <c r="H743" s="84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47"/>
      <c r="U743" s="47"/>
      <c r="V743" s="47"/>
      <c r="W743" s="47"/>
      <c r="X743" s="47"/>
      <c r="Y743" s="47"/>
      <c r="Z743" s="47"/>
    </row>
    <row r="744" spans="1:26" ht="12.75" customHeight="1">
      <c r="A744" s="47"/>
      <c r="B744" s="47"/>
      <c r="C744" s="47"/>
      <c r="D744" s="47"/>
      <c r="E744" s="47"/>
      <c r="F744" s="47"/>
      <c r="G744" s="47"/>
      <c r="H744" s="84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47"/>
      <c r="U744" s="47"/>
      <c r="V744" s="47"/>
      <c r="W744" s="47"/>
      <c r="X744" s="47"/>
      <c r="Y744" s="47"/>
      <c r="Z744" s="47"/>
    </row>
    <row r="745" spans="1:26" ht="12.75" customHeight="1">
      <c r="A745" s="47"/>
      <c r="B745" s="47"/>
      <c r="C745" s="47"/>
      <c r="D745" s="47"/>
      <c r="E745" s="47"/>
      <c r="F745" s="47"/>
      <c r="G745" s="47"/>
      <c r="H745" s="84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47"/>
      <c r="U745" s="47"/>
      <c r="V745" s="47"/>
      <c r="W745" s="47"/>
      <c r="X745" s="47"/>
      <c r="Y745" s="47"/>
      <c r="Z745" s="47"/>
    </row>
    <row r="746" spans="1:26" ht="12.75" customHeight="1">
      <c r="A746" s="47"/>
      <c r="B746" s="47"/>
      <c r="C746" s="47"/>
      <c r="D746" s="47"/>
      <c r="E746" s="47"/>
      <c r="F746" s="47"/>
      <c r="G746" s="47"/>
      <c r="H746" s="84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47"/>
      <c r="U746" s="47"/>
      <c r="V746" s="47"/>
      <c r="W746" s="47"/>
      <c r="X746" s="47"/>
      <c r="Y746" s="47"/>
      <c r="Z746" s="47"/>
    </row>
    <row r="747" spans="1:26" ht="12.75" customHeight="1">
      <c r="A747" s="47"/>
      <c r="B747" s="47"/>
      <c r="C747" s="47"/>
      <c r="D747" s="47"/>
      <c r="E747" s="47"/>
      <c r="F747" s="47"/>
      <c r="G747" s="47"/>
      <c r="H747" s="84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47"/>
      <c r="U747" s="47"/>
      <c r="V747" s="47"/>
      <c r="W747" s="47"/>
      <c r="X747" s="47"/>
      <c r="Y747" s="47"/>
      <c r="Z747" s="47"/>
    </row>
    <row r="748" spans="1:26" ht="12.75" customHeight="1">
      <c r="A748" s="47"/>
      <c r="B748" s="47"/>
      <c r="C748" s="47"/>
      <c r="D748" s="47"/>
      <c r="E748" s="47"/>
      <c r="F748" s="47"/>
      <c r="G748" s="47"/>
      <c r="H748" s="84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47"/>
      <c r="U748" s="47"/>
      <c r="V748" s="47"/>
      <c r="W748" s="47"/>
      <c r="X748" s="47"/>
      <c r="Y748" s="47"/>
      <c r="Z748" s="47"/>
    </row>
    <row r="749" spans="1:26" ht="12.75" customHeight="1">
      <c r="A749" s="47"/>
      <c r="B749" s="47"/>
      <c r="C749" s="47"/>
      <c r="D749" s="47"/>
      <c r="E749" s="47"/>
      <c r="F749" s="47"/>
      <c r="G749" s="47"/>
      <c r="H749" s="84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47"/>
      <c r="U749" s="47"/>
      <c r="V749" s="47"/>
      <c r="W749" s="47"/>
      <c r="X749" s="47"/>
      <c r="Y749" s="47"/>
      <c r="Z749" s="47"/>
    </row>
    <row r="750" spans="1:26" ht="12.75" customHeight="1">
      <c r="A750" s="47"/>
      <c r="B750" s="47"/>
      <c r="C750" s="47"/>
      <c r="D750" s="47"/>
      <c r="E750" s="47"/>
      <c r="F750" s="47"/>
      <c r="G750" s="47"/>
      <c r="H750" s="84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47"/>
      <c r="U750" s="47"/>
      <c r="V750" s="47"/>
      <c r="W750" s="47"/>
      <c r="X750" s="47"/>
      <c r="Y750" s="47"/>
      <c r="Z750" s="47"/>
    </row>
    <row r="751" spans="1:26" ht="12.75" customHeight="1">
      <c r="A751" s="47"/>
      <c r="B751" s="47"/>
      <c r="C751" s="47"/>
      <c r="D751" s="47"/>
      <c r="E751" s="47"/>
      <c r="F751" s="47"/>
      <c r="G751" s="47"/>
      <c r="H751" s="84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47"/>
      <c r="U751" s="47"/>
      <c r="V751" s="47"/>
      <c r="W751" s="47"/>
      <c r="X751" s="47"/>
      <c r="Y751" s="47"/>
      <c r="Z751" s="47"/>
    </row>
    <row r="752" spans="1:26" ht="12.75" customHeight="1">
      <c r="A752" s="47"/>
      <c r="B752" s="47"/>
      <c r="C752" s="47"/>
      <c r="D752" s="47"/>
      <c r="E752" s="47"/>
      <c r="F752" s="47"/>
      <c r="G752" s="47"/>
      <c r="H752" s="84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47"/>
      <c r="U752" s="47"/>
      <c r="V752" s="47"/>
      <c r="W752" s="47"/>
      <c r="X752" s="47"/>
      <c r="Y752" s="47"/>
      <c r="Z752" s="47"/>
    </row>
    <row r="753" spans="1:26" ht="12.75" customHeight="1">
      <c r="A753" s="47"/>
      <c r="B753" s="47"/>
      <c r="C753" s="47"/>
      <c r="D753" s="47"/>
      <c r="E753" s="47"/>
      <c r="F753" s="47"/>
      <c r="G753" s="47"/>
      <c r="H753" s="84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47"/>
      <c r="U753" s="47"/>
      <c r="V753" s="47"/>
      <c r="W753" s="47"/>
      <c r="X753" s="47"/>
      <c r="Y753" s="47"/>
      <c r="Z753" s="47"/>
    </row>
    <row r="754" spans="1:26" ht="12.75" customHeight="1">
      <c r="A754" s="47"/>
      <c r="B754" s="47"/>
      <c r="C754" s="47"/>
      <c r="D754" s="47"/>
      <c r="E754" s="47"/>
      <c r="F754" s="47"/>
      <c r="G754" s="47"/>
      <c r="H754" s="84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47"/>
      <c r="U754" s="47"/>
      <c r="V754" s="47"/>
      <c r="W754" s="47"/>
      <c r="X754" s="47"/>
      <c r="Y754" s="47"/>
      <c r="Z754" s="47"/>
    </row>
    <row r="755" spans="1:26" ht="12.75" customHeight="1">
      <c r="A755" s="47"/>
      <c r="B755" s="47"/>
      <c r="C755" s="47"/>
      <c r="D755" s="47"/>
      <c r="E755" s="47"/>
      <c r="F755" s="47"/>
      <c r="G755" s="47"/>
      <c r="H755" s="84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47"/>
      <c r="U755" s="47"/>
      <c r="V755" s="47"/>
      <c r="W755" s="47"/>
      <c r="X755" s="47"/>
      <c r="Y755" s="47"/>
      <c r="Z755" s="47"/>
    </row>
    <row r="756" spans="1:26" ht="12.75" customHeight="1">
      <c r="A756" s="47"/>
      <c r="B756" s="47"/>
      <c r="C756" s="47"/>
      <c r="D756" s="47"/>
      <c r="E756" s="47"/>
      <c r="F756" s="47"/>
      <c r="G756" s="47"/>
      <c r="H756" s="84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47"/>
      <c r="U756" s="47"/>
      <c r="V756" s="47"/>
      <c r="W756" s="47"/>
      <c r="X756" s="47"/>
      <c r="Y756" s="47"/>
      <c r="Z756" s="47"/>
    </row>
    <row r="757" spans="1:26" ht="12.75" customHeight="1">
      <c r="A757" s="47"/>
      <c r="B757" s="47"/>
      <c r="C757" s="47"/>
      <c r="D757" s="47"/>
      <c r="E757" s="47"/>
      <c r="F757" s="47"/>
      <c r="G757" s="47"/>
      <c r="H757" s="84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47"/>
      <c r="U757" s="47"/>
      <c r="V757" s="47"/>
      <c r="W757" s="47"/>
      <c r="X757" s="47"/>
      <c r="Y757" s="47"/>
      <c r="Z757" s="47"/>
    </row>
    <row r="758" spans="1:26" ht="12.75" customHeight="1">
      <c r="A758" s="47"/>
      <c r="B758" s="47"/>
      <c r="C758" s="47"/>
      <c r="D758" s="47"/>
      <c r="E758" s="47"/>
      <c r="F758" s="47"/>
      <c r="G758" s="47"/>
      <c r="H758" s="84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47"/>
      <c r="U758" s="47"/>
      <c r="V758" s="47"/>
      <c r="W758" s="47"/>
      <c r="X758" s="47"/>
      <c r="Y758" s="47"/>
      <c r="Z758" s="47"/>
    </row>
    <row r="759" spans="1:26" ht="12.75" customHeight="1">
      <c r="A759" s="47"/>
      <c r="B759" s="47"/>
      <c r="C759" s="47"/>
      <c r="D759" s="47"/>
      <c r="E759" s="47"/>
      <c r="F759" s="47"/>
      <c r="G759" s="47"/>
      <c r="H759" s="84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47"/>
      <c r="U759" s="47"/>
      <c r="V759" s="47"/>
      <c r="W759" s="47"/>
      <c r="X759" s="47"/>
      <c r="Y759" s="47"/>
      <c r="Z759" s="47"/>
    </row>
    <row r="760" spans="1:26" ht="12.75" customHeight="1">
      <c r="A760" s="47"/>
      <c r="B760" s="47"/>
      <c r="C760" s="47"/>
      <c r="D760" s="47"/>
      <c r="E760" s="47"/>
      <c r="F760" s="47"/>
      <c r="G760" s="47"/>
      <c r="H760" s="84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47"/>
      <c r="U760" s="47"/>
      <c r="V760" s="47"/>
      <c r="W760" s="47"/>
      <c r="X760" s="47"/>
      <c r="Y760" s="47"/>
      <c r="Z760" s="47"/>
    </row>
    <row r="761" spans="1:26" ht="12.75" customHeight="1">
      <c r="A761" s="47"/>
      <c r="B761" s="47"/>
      <c r="C761" s="47"/>
      <c r="D761" s="47"/>
      <c r="E761" s="47"/>
      <c r="F761" s="47"/>
      <c r="G761" s="47"/>
      <c r="H761" s="84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47"/>
      <c r="U761" s="47"/>
      <c r="V761" s="47"/>
      <c r="W761" s="47"/>
      <c r="X761" s="47"/>
      <c r="Y761" s="47"/>
      <c r="Z761" s="47"/>
    </row>
    <row r="762" spans="1:26" ht="12.75" customHeight="1">
      <c r="A762" s="47"/>
      <c r="B762" s="47"/>
      <c r="C762" s="47"/>
      <c r="D762" s="47"/>
      <c r="E762" s="47"/>
      <c r="F762" s="47"/>
      <c r="G762" s="47"/>
      <c r="H762" s="84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47"/>
      <c r="U762" s="47"/>
      <c r="V762" s="47"/>
      <c r="W762" s="47"/>
      <c r="X762" s="47"/>
      <c r="Y762" s="47"/>
      <c r="Z762" s="47"/>
    </row>
    <row r="763" spans="1:26" ht="12.75" customHeight="1">
      <c r="A763" s="47"/>
      <c r="B763" s="47"/>
      <c r="C763" s="47"/>
      <c r="D763" s="47"/>
      <c r="E763" s="47"/>
      <c r="F763" s="47"/>
      <c r="G763" s="47"/>
      <c r="H763" s="84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47"/>
      <c r="U763" s="47"/>
      <c r="V763" s="47"/>
      <c r="W763" s="47"/>
      <c r="X763" s="47"/>
      <c r="Y763" s="47"/>
      <c r="Z763" s="47"/>
    </row>
    <row r="764" spans="1:26" ht="12.75" customHeight="1">
      <c r="A764" s="47"/>
      <c r="B764" s="47"/>
      <c r="C764" s="47"/>
      <c r="D764" s="47"/>
      <c r="E764" s="47"/>
      <c r="F764" s="47"/>
      <c r="G764" s="47"/>
      <c r="H764" s="84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47"/>
      <c r="U764" s="47"/>
      <c r="V764" s="47"/>
      <c r="W764" s="47"/>
      <c r="X764" s="47"/>
      <c r="Y764" s="47"/>
      <c r="Z764" s="47"/>
    </row>
    <row r="765" spans="1:26" ht="12.75" customHeight="1">
      <c r="A765" s="47"/>
      <c r="B765" s="47"/>
      <c r="C765" s="47"/>
      <c r="D765" s="47"/>
      <c r="E765" s="47"/>
      <c r="F765" s="47"/>
      <c r="G765" s="47"/>
      <c r="H765" s="84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47"/>
      <c r="U765" s="47"/>
      <c r="V765" s="47"/>
      <c r="W765" s="47"/>
      <c r="X765" s="47"/>
      <c r="Y765" s="47"/>
      <c r="Z765" s="47"/>
    </row>
    <row r="766" spans="1:26" ht="12.75" customHeight="1">
      <c r="A766" s="47"/>
      <c r="B766" s="47"/>
      <c r="C766" s="47"/>
      <c r="D766" s="47"/>
      <c r="E766" s="47"/>
      <c r="F766" s="47"/>
      <c r="G766" s="47"/>
      <c r="H766" s="84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47"/>
      <c r="U766" s="47"/>
      <c r="V766" s="47"/>
      <c r="W766" s="47"/>
      <c r="X766" s="47"/>
      <c r="Y766" s="47"/>
      <c r="Z766" s="47"/>
    </row>
    <row r="767" spans="1:26" ht="12.75" customHeight="1">
      <c r="A767" s="47"/>
      <c r="B767" s="47"/>
      <c r="C767" s="47"/>
      <c r="D767" s="47"/>
      <c r="E767" s="47"/>
      <c r="F767" s="47"/>
      <c r="G767" s="47"/>
      <c r="H767" s="84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47"/>
      <c r="U767" s="47"/>
      <c r="V767" s="47"/>
      <c r="W767" s="47"/>
      <c r="X767" s="47"/>
      <c r="Y767" s="47"/>
      <c r="Z767" s="47"/>
    </row>
    <row r="768" spans="1:26" ht="12.75" customHeight="1">
      <c r="A768" s="47"/>
      <c r="B768" s="47"/>
      <c r="C768" s="47"/>
      <c r="D768" s="47"/>
      <c r="E768" s="47"/>
      <c r="F768" s="47"/>
      <c r="G768" s="47"/>
      <c r="H768" s="84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47"/>
      <c r="U768" s="47"/>
      <c r="V768" s="47"/>
      <c r="W768" s="47"/>
      <c r="X768" s="47"/>
      <c r="Y768" s="47"/>
      <c r="Z768" s="47"/>
    </row>
    <row r="769" spans="1:26" ht="12.75" customHeight="1">
      <c r="A769" s="47"/>
      <c r="B769" s="47"/>
      <c r="C769" s="47"/>
      <c r="D769" s="47"/>
      <c r="E769" s="47"/>
      <c r="F769" s="47"/>
      <c r="G769" s="47"/>
      <c r="H769" s="84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47"/>
      <c r="U769" s="47"/>
      <c r="V769" s="47"/>
      <c r="W769" s="47"/>
      <c r="X769" s="47"/>
      <c r="Y769" s="47"/>
      <c r="Z769" s="47"/>
    </row>
    <row r="770" spans="1:26" ht="12.75" customHeight="1">
      <c r="A770" s="47"/>
      <c r="B770" s="47"/>
      <c r="C770" s="47"/>
      <c r="D770" s="47"/>
      <c r="E770" s="47"/>
      <c r="F770" s="47"/>
      <c r="G770" s="47"/>
      <c r="H770" s="84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47"/>
      <c r="U770" s="47"/>
      <c r="V770" s="47"/>
      <c r="W770" s="47"/>
      <c r="X770" s="47"/>
      <c r="Y770" s="47"/>
      <c r="Z770" s="47"/>
    </row>
    <row r="771" spans="1:26" ht="12.75" customHeight="1">
      <c r="A771" s="47"/>
      <c r="B771" s="47"/>
      <c r="C771" s="47"/>
      <c r="D771" s="47"/>
      <c r="E771" s="47"/>
      <c r="F771" s="47"/>
      <c r="G771" s="47"/>
      <c r="H771" s="84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47"/>
      <c r="U771" s="47"/>
      <c r="V771" s="47"/>
      <c r="W771" s="47"/>
      <c r="X771" s="47"/>
      <c r="Y771" s="47"/>
      <c r="Z771" s="47"/>
    </row>
    <row r="772" spans="1:26" ht="12.75" customHeight="1">
      <c r="A772" s="47"/>
      <c r="B772" s="47"/>
      <c r="C772" s="47"/>
      <c r="D772" s="47"/>
      <c r="E772" s="47"/>
      <c r="F772" s="47"/>
      <c r="G772" s="47"/>
      <c r="H772" s="84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47"/>
      <c r="U772" s="47"/>
      <c r="V772" s="47"/>
      <c r="W772" s="47"/>
      <c r="X772" s="47"/>
      <c r="Y772" s="47"/>
      <c r="Z772" s="47"/>
    </row>
    <row r="773" spans="1:26" ht="12.75" customHeight="1">
      <c r="A773" s="47"/>
      <c r="B773" s="47"/>
      <c r="C773" s="47"/>
      <c r="D773" s="47"/>
      <c r="E773" s="47"/>
      <c r="F773" s="47"/>
      <c r="G773" s="47"/>
      <c r="H773" s="84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47"/>
      <c r="U773" s="47"/>
      <c r="V773" s="47"/>
      <c r="W773" s="47"/>
      <c r="X773" s="47"/>
      <c r="Y773" s="47"/>
      <c r="Z773" s="47"/>
    </row>
    <row r="774" spans="1:26" ht="12.75" customHeight="1">
      <c r="A774" s="47"/>
      <c r="B774" s="47"/>
      <c r="C774" s="47"/>
      <c r="D774" s="47"/>
      <c r="E774" s="47"/>
      <c r="F774" s="47"/>
      <c r="G774" s="47"/>
      <c r="H774" s="84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47"/>
      <c r="U774" s="47"/>
      <c r="V774" s="47"/>
      <c r="W774" s="47"/>
      <c r="X774" s="47"/>
      <c r="Y774" s="47"/>
      <c r="Z774" s="47"/>
    </row>
    <row r="775" spans="1:26" ht="12.75" customHeight="1">
      <c r="A775" s="47"/>
      <c r="B775" s="47"/>
      <c r="C775" s="47"/>
      <c r="D775" s="47"/>
      <c r="E775" s="47"/>
      <c r="F775" s="47"/>
      <c r="G775" s="47"/>
      <c r="H775" s="84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47"/>
      <c r="U775" s="47"/>
      <c r="V775" s="47"/>
      <c r="W775" s="47"/>
      <c r="X775" s="47"/>
      <c r="Y775" s="47"/>
      <c r="Z775" s="47"/>
    </row>
    <row r="776" spans="1:26" ht="12.75" customHeight="1">
      <c r="A776" s="47"/>
      <c r="B776" s="47"/>
      <c r="C776" s="47"/>
      <c r="D776" s="47"/>
      <c r="E776" s="47"/>
      <c r="F776" s="47"/>
      <c r="G776" s="47"/>
      <c r="H776" s="84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47"/>
      <c r="U776" s="47"/>
      <c r="V776" s="47"/>
      <c r="W776" s="47"/>
      <c r="X776" s="47"/>
      <c r="Y776" s="47"/>
      <c r="Z776" s="47"/>
    </row>
    <row r="777" spans="1:26" ht="12.75" customHeight="1">
      <c r="A777" s="47"/>
      <c r="B777" s="47"/>
      <c r="C777" s="47"/>
      <c r="D777" s="47"/>
      <c r="E777" s="47"/>
      <c r="F777" s="47"/>
      <c r="G777" s="47"/>
      <c r="H777" s="84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47"/>
      <c r="U777" s="47"/>
      <c r="V777" s="47"/>
      <c r="W777" s="47"/>
      <c r="X777" s="47"/>
      <c r="Y777" s="47"/>
      <c r="Z777" s="47"/>
    </row>
    <row r="778" spans="1:26" ht="12.75" customHeight="1">
      <c r="A778" s="47"/>
      <c r="B778" s="47"/>
      <c r="C778" s="47"/>
      <c r="D778" s="47"/>
      <c r="E778" s="47"/>
      <c r="F778" s="47"/>
      <c r="G778" s="47"/>
      <c r="H778" s="84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47"/>
      <c r="U778" s="47"/>
      <c r="V778" s="47"/>
      <c r="W778" s="47"/>
      <c r="X778" s="47"/>
      <c r="Y778" s="47"/>
      <c r="Z778" s="47"/>
    </row>
    <row r="779" spans="1:26" ht="12.75" customHeight="1">
      <c r="A779" s="47"/>
      <c r="B779" s="47"/>
      <c r="C779" s="47"/>
      <c r="D779" s="47"/>
      <c r="E779" s="47"/>
      <c r="F779" s="47"/>
      <c r="G779" s="47"/>
      <c r="H779" s="84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47"/>
      <c r="U779" s="47"/>
      <c r="V779" s="47"/>
      <c r="W779" s="47"/>
      <c r="X779" s="47"/>
      <c r="Y779" s="47"/>
      <c r="Z779" s="47"/>
    </row>
    <row r="780" spans="1:26" ht="12.75" customHeight="1">
      <c r="A780" s="47"/>
      <c r="B780" s="47"/>
      <c r="C780" s="47"/>
      <c r="D780" s="47"/>
      <c r="E780" s="47"/>
      <c r="F780" s="47"/>
      <c r="G780" s="47"/>
      <c r="H780" s="84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47"/>
      <c r="U780" s="47"/>
      <c r="V780" s="47"/>
      <c r="W780" s="47"/>
      <c r="X780" s="47"/>
      <c r="Y780" s="47"/>
      <c r="Z780" s="47"/>
    </row>
    <row r="781" spans="1:26" ht="12.75" customHeight="1">
      <c r="A781" s="47"/>
      <c r="B781" s="47"/>
      <c r="C781" s="47"/>
      <c r="D781" s="47"/>
      <c r="E781" s="47"/>
      <c r="F781" s="47"/>
      <c r="G781" s="47"/>
      <c r="H781" s="84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47"/>
      <c r="U781" s="47"/>
      <c r="V781" s="47"/>
      <c r="W781" s="47"/>
      <c r="X781" s="47"/>
      <c r="Y781" s="47"/>
      <c r="Z781" s="47"/>
    </row>
    <row r="782" spans="1:26" ht="12.75" customHeight="1">
      <c r="A782" s="47"/>
      <c r="B782" s="47"/>
      <c r="C782" s="47"/>
      <c r="D782" s="47"/>
      <c r="E782" s="47"/>
      <c r="F782" s="47"/>
      <c r="G782" s="47"/>
      <c r="H782" s="84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47"/>
      <c r="U782" s="47"/>
      <c r="V782" s="47"/>
      <c r="W782" s="47"/>
      <c r="X782" s="47"/>
      <c r="Y782" s="47"/>
      <c r="Z782" s="47"/>
    </row>
    <row r="783" spans="1:26" ht="12.75" customHeight="1">
      <c r="A783" s="47"/>
      <c r="B783" s="47"/>
      <c r="C783" s="47"/>
      <c r="D783" s="47"/>
      <c r="E783" s="47"/>
      <c r="F783" s="47"/>
      <c r="G783" s="47"/>
      <c r="H783" s="84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47"/>
      <c r="U783" s="47"/>
      <c r="V783" s="47"/>
      <c r="W783" s="47"/>
      <c r="X783" s="47"/>
      <c r="Y783" s="47"/>
      <c r="Z783" s="47"/>
    </row>
    <row r="784" spans="1:26" ht="12.75" customHeight="1">
      <c r="A784" s="47"/>
      <c r="B784" s="47"/>
      <c r="C784" s="47"/>
      <c r="D784" s="47"/>
      <c r="E784" s="47"/>
      <c r="F784" s="47"/>
      <c r="G784" s="47"/>
      <c r="H784" s="84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47"/>
      <c r="U784" s="47"/>
      <c r="V784" s="47"/>
      <c r="W784" s="47"/>
      <c r="X784" s="47"/>
      <c r="Y784" s="47"/>
      <c r="Z784" s="47"/>
    </row>
    <row r="785" spans="1:26" ht="12.75" customHeight="1">
      <c r="A785" s="47"/>
      <c r="B785" s="47"/>
      <c r="C785" s="47"/>
      <c r="D785" s="47"/>
      <c r="E785" s="47"/>
      <c r="F785" s="47"/>
      <c r="G785" s="47"/>
      <c r="H785" s="84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47"/>
      <c r="U785" s="47"/>
      <c r="V785" s="47"/>
      <c r="W785" s="47"/>
      <c r="X785" s="47"/>
      <c r="Y785" s="47"/>
      <c r="Z785" s="47"/>
    </row>
    <row r="786" spans="1:26" ht="12.75" customHeight="1">
      <c r="A786" s="47"/>
      <c r="B786" s="47"/>
      <c r="C786" s="47"/>
      <c r="D786" s="47"/>
      <c r="E786" s="47"/>
      <c r="F786" s="47"/>
      <c r="G786" s="47"/>
      <c r="H786" s="84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47"/>
      <c r="U786" s="47"/>
      <c r="V786" s="47"/>
      <c r="W786" s="47"/>
      <c r="X786" s="47"/>
      <c r="Y786" s="47"/>
      <c r="Z786" s="47"/>
    </row>
    <row r="787" spans="1:26" ht="12.75" customHeight="1">
      <c r="A787" s="47"/>
      <c r="B787" s="47"/>
      <c r="C787" s="47"/>
      <c r="D787" s="47"/>
      <c r="E787" s="47"/>
      <c r="F787" s="47"/>
      <c r="G787" s="47"/>
      <c r="H787" s="84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47"/>
      <c r="U787" s="47"/>
      <c r="V787" s="47"/>
      <c r="W787" s="47"/>
      <c r="X787" s="47"/>
      <c r="Y787" s="47"/>
      <c r="Z787" s="47"/>
    </row>
    <row r="788" spans="1:26" ht="12.75" customHeight="1">
      <c r="A788" s="47"/>
      <c r="B788" s="47"/>
      <c r="C788" s="47"/>
      <c r="D788" s="47"/>
      <c r="E788" s="47"/>
      <c r="F788" s="47"/>
      <c r="G788" s="47"/>
      <c r="H788" s="84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47"/>
      <c r="U788" s="47"/>
      <c r="V788" s="47"/>
      <c r="W788" s="47"/>
      <c r="X788" s="47"/>
      <c r="Y788" s="47"/>
      <c r="Z788" s="47"/>
    </row>
    <row r="789" spans="1:26" ht="12.75" customHeight="1">
      <c r="A789" s="47"/>
      <c r="B789" s="47"/>
      <c r="C789" s="47"/>
      <c r="D789" s="47"/>
      <c r="E789" s="47"/>
      <c r="F789" s="47"/>
      <c r="G789" s="47"/>
      <c r="H789" s="84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47"/>
      <c r="U789" s="47"/>
      <c r="V789" s="47"/>
      <c r="W789" s="47"/>
      <c r="X789" s="47"/>
      <c r="Y789" s="47"/>
      <c r="Z789" s="47"/>
    </row>
    <row r="790" spans="1:26" ht="12.75" customHeight="1">
      <c r="A790" s="47"/>
      <c r="B790" s="47"/>
      <c r="C790" s="47"/>
      <c r="D790" s="47"/>
      <c r="E790" s="47"/>
      <c r="F790" s="47"/>
      <c r="G790" s="47"/>
      <c r="H790" s="84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47"/>
      <c r="U790" s="47"/>
      <c r="V790" s="47"/>
      <c r="W790" s="47"/>
      <c r="X790" s="47"/>
      <c r="Y790" s="47"/>
      <c r="Z790" s="47"/>
    </row>
    <row r="791" spans="1:26" ht="12.75" customHeight="1">
      <c r="A791" s="47"/>
      <c r="B791" s="47"/>
      <c r="C791" s="47"/>
      <c r="D791" s="47"/>
      <c r="E791" s="47"/>
      <c r="F791" s="47"/>
      <c r="G791" s="47"/>
      <c r="H791" s="84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47"/>
      <c r="U791" s="47"/>
      <c r="V791" s="47"/>
      <c r="W791" s="47"/>
      <c r="X791" s="47"/>
      <c r="Y791" s="47"/>
      <c r="Z791" s="47"/>
    </row>
    <row r="792" spans="1:26" ht="12.75" customHeight="1">
      <c r="A792" s="47"/>
      <c r="B792" s="47"/>
      <c r="C792" s="47"/>
      <c r="D792" s="47"/>
      <c r="E792" s="47"/>
      <c r="F792" s="47"/>
      <c r="G792" s="47"/>
      <c r="H792" s="84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47"/>
      <c r="U792" s="47"/>
      <c r="V792" s="47"/>
      <c r="W792" s="47"/>
      <c r="X792" s="47"/>
      <c r="Y792" s="47"/>
      <c r="Z792" s="47"/>
    </row>
    <row r="793" spans="1:26" ht="12.75" customHeight="1">
      <c r="A793" s="47"/>
      <c r="B793" s="47"/>
      <c r="C793" s="47"/>
      <c r="D793" s="47"/>
      <c r="E793" s="47"/>
      <c r="F793" s="47"/>
      <c r="G793" s="47"/>
      <c r="H793" s="84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47"/>
      <c r="U793" s="47"/>
      <c r="V793" s="47"/>
      <c r="W793" s="47"/>
      <c r="X793" s="47"/>
      <c r="Y793" s="47"/>
      <c r="Z793" s="47"/>
    </row>
    <row r="794" spans="1:26" ht="12.75" customHeight="1">
      <c r="A794" s="47"/>
      <c r="B794" s="47"/>
      <c r="C794" s="47"/>
      <c r="D794" s="47"/>
      <c r="E794" s="47"/>
      <c r="F794" s="47"/>
      <c r="G794" s="47"/>
      <c r="H794" s="84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47"/>
      <c r="U794" s="47"/>
      <c r="V794" s="47"/>
      <c r="W794" s="47"/>
      <c r="X794" s="47"/>
      <c r="Y794" s="47"/>
      <c r="Z794" s="47"/>
    </row>
    <row r="795" spans="1:26" ht="12.75" customHeight="1">
      <c r="A795" s="47"/>
      <c r="B795" s="47"/>
      <c r="C795" s="47"/>
      <c r="D795" s="47"/>
      <c r="E795" s="47"/>
      <c r="F795" s="47"/>
      <c r="G795" s="47"/>
      <c r="H795" s="84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47"/>
      <c r="U795" s="47"/>
      <c r="V795" s="47"/>
      <c r="W795" s="47"/>
      <c r="X795" s="47"/>
      <c r="Y795" s="47"/>
      <c r="Z795" s="47"/>
    </row>
    <row r="796" spans="1:26" ht="12.75" customHeight="1">
      <c r="A796" s="47"/>
      <c r="B796" s="47"/>
      <c r="C796" s="47"/>
      <c r="D796" s="47"/>
      <c r="E796" s="47"/>
      <c r="F796" s="47"/>
      <c r="G796" s="47"/>
      <c r="H796" s="84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47"/>
      <c r="U796" s="47"/>
      <c r="V796" s="47"/>
      <c r="W796" s="47"/>
      <c r="X796" s="47"/>
      <c r="Y796" s="47"/>
      <c r="Z796" s="47"/>
    </row>
    <row r="797" spans="1:26" ht="12.75" customHeight="1">
      <c r="A797" s="47"/>
      <c r="B797" s="47"/>
      <c r="C797" s="47"/>
      <c r="D797" s="47"/>
      <c r="E797" s="47"/>
      <c r="F797" s="47"/>
      <c r="G797" s="47"/>
      <c r="H797" s="84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47"/>
      <c r="U797" s="47"/>
      <c r="V797" s="47"/>
      <c r="W797" s="47"/>
      <c r="X797" s="47"/>
      <c r="Y797" s="47"/>
      <c r="Z797" s="47"/>
    </row>
    <row r="798" spans="1:26" ht="12.75" customHeight="1">
      <c r="A798" s="47"/>
      <c r="B798" s="47"/>
      <c r="C798" s="47"/>
      <c r="D798" s="47"/>
      <c r="E798" s="47"/>
      <c r="F798" s="47"/>
      <c r="G798" s="47"/>
      <c r="H798" s="84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47"/>
      <c r="U798" s="47"/>
      <c r="V798" s="47"/>
      <c r="W798" s="47"/>
      <c r="X798" s="47"/>
      <c r="Y798" s="47"/>
      <c r="Z798" s="47"/>
    </row>
    <row r="799" spans="1:26" ht="12.75" customHeight="1">
      <c r="A799" s="47"/>
      <c r="B799" s="47"/>
      <c r="C799" s="47"/>
      <c r="D799" s="47"/>
      <c r="E799" s="47"/>
      <c r="F799" s="47"/>
      <c r="G799" s="47"/>
      <c r="H799" s="84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47"/>
      <c r="U799" s="47"/>
      <c r="V799" s="47"/>
      <c r="W799" s="47"/>
      <c r="X799" s="47"/>
      <c r="Y799" s="47"/>
      <c r="Z799" s="47"/>
    </row>
    <row r="800" spans="1:26" ht="12.75" customHeight="1">
      <c r="A800" s="47"/>
      <c r="B800" s="47"/>
      <c r="C800" s="47"/>
      <c r="D800" s="47"/>
      <c r="E800" s="47"/>
      <c r="F800" s="47"/>
      <c r="G800" s="47"/>
      <c r="H800" s="84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47"/>
      <c r="U800" s="47"/>
      <c r="V800" s="47"/>
      <c r="W800" s="47"/>
      <c r="X800" s="47"/>
      <c r="Y800" s="47"/>
      <c r="Z800" s="47"/>
    </row>
    <row r="801" spans="1:26" ht="12.75" customHeight="1">
      <c r="A801" s="47"/>
      <c r="B801" s="47"/>
      <c r="C801" s="47"/>
      <c r="D801" s="47"/>
      <c r="E801" s="47"/>
      <c r="F801" s="47"/>
      <c r="G801" s="47"/>
      <c r="H801" s="84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47"/>
      <c r="U801" s="47"/>
      <c r="V801" s="47"/>
      <c r="W801" s="47"/>
      <c r="X801" s="47"/>
      <c r="Y801" s="47"/>
      <c r="Z801" s="47"/>
    </row>
    <row r="802" spans="1:26" ht="12.75" customHeight="1">
      <c r="A802" s="47"/>
      <c r="B802" s="47"/>
      <c r="C802" s="47"/>
      <c r="D802" s="47"/>
      <c r="E802" s="47"/>
      <c r="F802" s="47"/>
      <c r="G802" s="47"/>
      <c r="H802" s="84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47"/>
      <c r="U802" s="47"/>
      <c r="V802" s="47"/>
      <c r="W802" s="47"/>
      <c r="X802" s="47"/>
      <c r="Y802" s="47"/>
      <c r="Z802" s="47"/>
    </row>
    <row r="803" spans="1:26" ht="12.75" customHeight="1">
      <c r="A803" s="47"/>
      <c r="B803" s="47"/>
      <c r="C803" s="47"/>
      <c r="D803" s="47"/>
      <c r="E803" s="47"/>
      <c r="F803" s="47"/>
      <c r="G803" s="47"/>
      <c r="H803" s="84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47"/>
      <c r="U803" s="47"/>
      <c r="V803" s="47"/>
      <c r="W803" s="47"/>
      <c r="X803" s="47"/>
      <c r="Y803" s="47"/>
      <c r="Z803" s="47"/>
    </row>
    <row r="804" spans="1:26" ht="12.75" customHeight="1">
      <c r="A804" s="47"/>
      <c r="B804" s="47"/>
      <c r="C804" s="47"/>
      <c r="D804" s="47"/>
      <c r="E804" s="47"/>
      <c r="F804" s="47"/>
      <c r="G804" s="47"/>
      <c r="H804" s="84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47"/>
      <c r="U804" s="47"/>
      <c r="V804" s="47"/>
      <c r="W804" s="47"/>
      <c r="X804" s="47"/>
      <c r="Y804" s="47"/>
      <c r="Z804" s="47"/>
    </row>
    <row r="805" spans="1:26" ht="12.75" customHeight="1">
      <c r="A805" s="47"/>
      <c r="B805" s="47"/>
      <c r="C805" s="47"/>
      <c r="D805" s="47"/>
      <c r="E805" s="47"/>
      <c r="F805" s="47"/>
      <c r="G805" s="47"/>
      <c r="H805" s="84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47"/>
      <c r="U805" s="47"/>
      <c r="V805" s="47"/>
      <c r="W805" s="47"/>
      <c r="X805" s="47"/>
      <c r="Y805" s="47"/>
      <c r="Z805" s="47"/>
    </row>
    <row r="806" spans="1:26" ht="12.75" customHeight="1">
      <c r="A806" s="47"/>
      <c r="B806" s="47"/>
      <c r="C806" s="47"/>
      <c r="D806" s="47"/>
      <c r="E806" s="47"/>
      <c r="F806" s="47"/>
      <c r="G806" s="47"/>
      <c r="H806" s="84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47"/>
      <c r="U806" s="47"/>
      <c r="V806" s="47"/>
      <c r="W806" s="47"/>
      <c r="X806" s="47"/>
      <c r="Y806" s="47"/>
      <c r="Z806" s="47"/>
    </row>
    <row r="807" spans="1:26" ht="12.75" customHeight="1">
      <c r="A807" s="47"/>
      <c r="B807" s="47"/>
      <c r="C807" s="47"/>
      <c r="D807" s="47"/>
      <c r="E807" s="47"/>
      <c r="F807" s="47"/>
      <c r="G807" s="47"/>
      <c r="H807" s="84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47"/>
      <c r="U807" s="47"/>
      <c r="V807" s="47"/>
      <c r="W807" s="47"/>
      <c r="X807" s="47"/>
      <c r="Y807" s="47"/>
      <c r="Z807" s="47"/>
    </row>
    <row r="808" spans="1:26" ht="12.75" customHeight="1">
      <c r="A808" s="47"/>
      <c r="B808" s="47"/>
      <c r="C808" s="47"/>
      <c r="D808" s="47"/>
      <c r="E808" s="47"/>
      <c r="F808" s="47"/>
      <c r="G808" s="47"/>
      <c r="H808" s="84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47"/>
      <c r="U808" s="47"/>
      <c r="V808" s="47"/>
      <c r="W808" s="47"/>
      <c r="X808" s="47"/>
      <c r="Y808" s="47"/>
      <c r="Z808" s="47"/>
    </row>
    <row r="809" spans="1:26" ht="12.75" customHeight="1">
      <c r="A809" s="47"/>
      <c r="B809" s="47"/>
      <c r="C809" s="47"/>
      <c r="D809" s="47"/>
      <c r="E809" s="47"/>
      <c r="F809" s="47"/>
      <c r="G809" s="47"/>
      <c r="H809" s="84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47"/>
      <c r="U809" s="47"/>
      <c r="V809" s="47"/>
      <c r="W809" s="47"/>
      <c r="X809" s="47"/>
      <c r="Y809" s="47"/>
      <c r="Z809" s="47"/>
    </row>
    <row r="810" spans="1:26" ht="12.75" customHeight="1">
      <c r="A810" s="47"/>
      <c r="B810" s="47"/>
      <c r="C810" s="47"/>
      <c r="D810" s="47"/>
      <c r="E810" s="47"/>
      <c r="F810" s="47"/>
      <c r="G810" s="47"/>
      <c r="H810" s="84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47"/>
      <c r="U810" s="47"/>
      <c r="V810" s="47"/>
      <c r="W810" s="47"/>
      <c r="X810" s="47"/>
      <c r="Y810" s="47"/>
      <c r="Z810" s="47"/>
    </row>
    <row r="811" spans="1:26" ht="12.75" customHeight="1">
      <c r="A811" s="47"/>
      <c r="B811" s="47"/>
      <c r="C811" s="47"/>
      <c r="D811" s="47"/>
      <c r="E811" s="47"/>
      <c r="F811" s="47"/>
      <c r="G811" s="47"/>
      <c r="H811" s="84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47"/>
      <c r="U811" s="47"/>
      <c r="V811" s="47"/>
      <c r="W811" s="47"/>
      <c r="X811" s="47"/>
      <c r="Y811" s="47"/>
      <c r="Z811" s="47"/>
    </row>
    <row r="812" spans="1:26" ht="12.75" customHeight="1">
      <c r="A812" s="47"/>
      <c r="B812" s="47"/>
      <c r="C812" s="47"/>
      <c r="D812" s="47"/>
      <c r="E812" s="47"/>
      <c r="F812" s="47"/>
      <c r="G812" s="47"/>
      <c r="H812" s="84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47"/>
      <c r="U812" s="47"/>
      <c r="V812" s="47"/>
      <c r="W812" s="47"/>
      <c r="X812" s="47"/>
      <c r="Y812" s="47"/>
      <c r="Z812" s="47"/>
    </row>
    <row r="813" spans="1:26" ht="12.75" customHeight="1">
      <c r="A813" s="47"/>
      <c r="B813" s="47"/>
      <c r="C813" s="47"/>
      <c r="D813" s="47"/>
      <c r="E813" s="47"/>
      <c r="F813" s="47"/>
      <c r="G813" s="47"/>
      <c r="H813" s="84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47"/>
      <c r="U813" s="47"/>
      <c r="V813" s="47"/>
      <c r="W813" s="47"/>
      <c r="X813" s="47"/>
      <c r="Y813" s="47"/>
      <c r="Z813" s="47"/>
    </row>
    <row r="814" spans="1:26" ht="12.75" customHeight="1">
      <c r="A814" s="47"/>
      <c r="B814" s="47"/>
      <c r="C814" s="47"/>
      <c r="D814" s="47"/>
      <c r="E814" s="47"/>
      <c r="F814" s="47"/>
      <c r="G814" s="47"/>
      <c r="H814" s="84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47"/>
      <c r="U814" s="47"/>
      <c r="V814" s="47"/>
      <c r="W814" s="47"/>
      <c r="X814" s="47"/>
      <c r="Y814" s="47"/>
      <c r="Z814" s="47"/>
    </row>
    <row r="815" spans="1:26" ht="12.75" customHeight="1">
      <c r="A815" s="47"/>
      <c r="B815" s="47"/>
      <c r="C815" s="47"/>
      <c r="D815" s="47"/>
      <c r="E815" s="47"/>
      <c r="F815" s="47"/>
      <c r="G815" s="47"/>
      <c r="H815" s="84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47"/>
      <c r="U815" s="47"/>
      <c r="V815" s="47"/>
      <c r="W815" s="47"/>
      <c r="X815" s="47"/>
      <c r="Y815" s="47"/>
      <c r="Z815" s="47"/>
    </row>
    <row r="816" spans="1:26" ht="12.75" customHeight="1">
      <c r="A816" s="47"/>
      <c r="B816" s="47"/>
      <c r="C816" s="47"/>
      <c r="D816" s="47"/>
      <c r="E816" s="47"/>
      <c r="F816" s="47"/>
      <c r="G816" s="47"/>
      <c r="H816" s="84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47"/>
      <c r="U816" s="47"/>
      <c r="V816" s="47"/>
      <c r="W816" s="47"/>
      <c r="X816" s="47"/>
      <c r="Y816" s="47"/>
      <c r="Z816" s="47"/>
    </row>
    <row r="817" spans="1:26" ht="12.75" customHeight="1">
      <c r="A817" s="47"/>
      <c r="B817" s="47"/>
      <c r="C817" s="47"/>
      <c r="D817" s="47"/>
      <c r="E817" s="47"/>
      <c r="F817" s="47"/>
      <c r="G817" s="47"/>
      <c r="H817" s="84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47"/>
      <c r="U817" s="47"/>
      <c r="V817" s="47"/>
      <c r="W817" s="47"/>
      <c r="X817" s="47"/>
      <c r="Y817" s="47"/>
      <c r="Z817" s="47"/>
    </row>
    <row r="818" spans="1:26" ht="12.75" customHeight="1">
      <c r="A818" s="47"/>
      <c r="B818" s="47"/>
      <c r="C818" s="47"/>
      <c r="D818" s="47"/>
      <c r="E818" s="47"/>
      <c r="F818" s="47"/>
      <c r="G818" s="47"/>
      <c r="H818" s="84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47"/>
      <c r="U818" s="47"/>
      <c r="V818" s="47"/>
      <c r="W818" s="47"/>
      <c r="X818" s="47"/>
      <c r="Y818" s="47"/>
      <c r="Z818" s="47"/>
    </row>
    <row r="819" spans="1:26" ht="12.75" customHeight="1">
      <c r="A819" s="47"/>
      <c r="B819" s="47"/>
      <c r="C819" s="47"/>
      <c r="D819" s="47"/>
      <c r="E819" s="47"/>
      <c r="F819" s="47"/>
      <c r="G819" s="47"/>
      <c r="H819" s="84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47"/>
      <c r="U819" s="47"/>
      <c r="V819" s="47"/>
      <c r="W819" s="47"/>
      <c r="X819" s="47"/>
      <c r="Y819" s="47"/>
      <c r="Z819" s="47"/>
    </row>
    <row r="820" spans="1:26" ht="12.75" customHeight="1">
      <c r="A820" s="47"/>
      <c r="B820" s="47"/>
      <c r="C820" s="47"/>
      <c r="D820" s="47"/>
      <c r="E820" s="47"/>
      <c r="F820" s="47"/>
      <c r="G820" s="47"/>
      <c r="H820" s="84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47"/>
      <c r="U820" s="47"/>
      <c r="V820" s="47"/>
      <c r="W820" s="47"/>
      <c r="X820" s="47"/>
      <c r="Y820" s="47"/>
      <c r="Z820" s="47"/>
    </row>
    <row r="821" spans="1:26" ht="12.75" customHeight="1">
      <c r="A821" s="47"/>
      <c r="B821" s="47"/>
      <c r="C821" s="47"/>
      <c r="D821" s="47"/>
      <c r="E821" s="47"/>
      <c r="F821" s="47"/>
      <c r="G821" s="47"/>
      <c r="H821" s="84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47"/>
      <c r="U821" s="47"/>
      <c r="V821" s="47"/>
      <c r="W821" s="47"/>
      <c r="X821" s="47"/>
      <c r="Y821" s="47"/>
      <c r="Z821" s="47"/>
    </row>
    <row r="822" spans="1:26" ht="12.75" customHeight="1">
      <c r="A822" s="47"/>
      <c r="B822" s="47"/>
      <c r="C822" s="47"/>
      <c r="D822" s="47"/>
      <c r="E822" s="47"/>
      <c r="F822" s="47"/>
      <c r="G822" s="47"/>
      <c r="H822" s="84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47"/>
      <c r="U822" s="47"/>
      <c r="V822" s="47"/>
      <c r="W822" s="47"/>
      <c r="X822" s="47"/>
      <c r="Y822" s="47"/>
      <c r="Z822" s="47"/>
    </row>
    <row r="823" spans="1:26" ht="12.75" customHeight="1">
      <c r="A823" s="47"/>
      <c r="B823" s="47"/>
      <c r="C823" s="47"/>
      <c r="D823" s="47"/>
      <c r="E823" s="47"/>
      <c r="F823" s="47"/>
      <c r="G823" s="47"/>
      <c r="H823" s="84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47"/>
      <c r="U823" s="47"/>
      <c r="V823" s="47"/>
      <c r="W823" s="47"/>
      <c r="X823" s="47"/>
      <c r="Y823" s="47"/>
      <c r="Z823" s="47"/>
    </row>
    <row r="824" spans="1:26" ht="12.75" customHeight="1">
      <c r="A824" s="47"/>
      <c r="B824" s="47"/>
      <c r="C824" s="47"/>
      <c r="D824" s="47"/>
      <c r="E824" s="47"/>
      <c r="F824" s="47"/>
      <c r="G824" s="47"/>
      <c r="H824" s="84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47"/>
      <c r="U824" s="47"/>
      <c r="V824" s="47"/>
      <c r="W824" s="47"/>
      <c r="X824" s="47"/>
      <c r="Y824" s="47"/>
      <c r="Z824" s="47"/>
    </row>
    <row r="825" spans="1:26" ht="12.75" customHeight="1">
      <c r="A825" s="47"/>
      <c r="B825" s="47"/>
      <c r="C825" s="47"/>
      <c r="D825" s="47"/>
      <c r="E825" s="47"/>
      <c r="F825" s="47"/>
      <c r="G825" s="47"/>
      <c r="H825" s="84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47"/>
      <c r="U825" s="47"/>
      <c r="V825" s="47"/>
      <c r="W825" s="47"/>
      <c r="X825" s="47"/>
      <c r="Y825" s="47"/>
      <c r="Z825" s="47"/>
    </row>
    <row r="826" spans="1:26" ht="12.75" customHeight="1">
      <c r="A826" s="47"/>
      <c r="B826" s="47"/>
      <c r="C826" s="47"/>
      <c r="D826" s="47"/>
      <c r="E826" s="47"/>
      <c r="F826" s="47"/>
      <c r="G826" s="47"/>
      <c r="H826" s="84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47"/>
      <c r="U826" s="47"/>
      <c r="V826" s="47"/>
      <c r="W826" s="47"/>
      <c r="X826" s="47"/>
      <c r="Y826" s="47"/>
      <c r="Z826" s="47"/>
    </row>
    <row r="827" spans="1:26" ht="12.75" customHeight="1">
      <c r="A827" s="47"/>
      <c r="B827" s="47"/>
      <c r="C827" s="47"/>
      <c r="D827" s="47"/>
      <c r="E827" s="47"/>
      <c r="F827" s="47"/>
      <c r="G827" s="47"/>
      <c r="H827" s="84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47"/>
      <c r="U827" s="47"/>
      <c r="V827" s="47"/>
      <c r="W827" s="47"/>
      <c r="X827" s="47"/>
      <c r="Y827" s="47"/>
      <c r="Z827" s="47"/>
    </row>
    <row r="828" spans="1:26" ht="12.75" customHeight="1">
      <c r="A828" s="47"/>
      <c r="B828" s="47"/>
      <c r="C828" s="47"/>
      <c r="D828" s="47"/>
      <c r="E828" s="47"/>
      <c r="F828" s="47"/>
      <c r="G828" s="47"/>
      <c r="H828" s="84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47"/>
      <c r="U828" s="47"/>
      <c r="V828" s="47"/>
      <c r="W828" s="47"/>
      <c r="X828" s="47"/>
      <c r="Y828" s="47"/>
      <c r="Z828" s="47"/>
    </row>
    <row r="829" spans="1:26" ht="12.75" customHeight="1">
      <c r="A829" s="47"/>
      <c r="B829" s="47"/>
      <c r="C829" s="47"/>
      <c r="D829" s="47"/>
      <c r="E829" s="47"/>
      <c r="F829" s="47"/>
      <c r="G829" s="47"/>
      <c r="H829" s="84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47"/>
      <c r="U829" s="47"/>
      <c r="V829" s="47"/>
      <c r="W829" s="47"/>
      <c r="X829" s="47"/>
      <c r="Y829" s="47"/>
      <c r="Z829" s="47"/>
    </row>
    <row r="830" spans="1:26" ht="12.75" customHeight="1">
      <c r="A830" s="47"/>
      <c r="B830" s="47"/>
      <c r="C830" s="47"/>
      <c r="D830" s="47"/>
      <c r="E830" s="47"/>
      <c r="F830" s="47"/>
      <c r="G830" s="47"/>
      <c r="H830" s="84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47"/>
      <c r="U830" s="47"/>
      <c r="V830" s="47"/>
      <c r="W830" s="47"/>
      <c r="X830" s="47"/>
      <c r="Y830" s="47"/>
      <c r="Z830" s="47"/>
    </row>
    <row r="831" spans="1:26" ht="12.75" customHeight="1">
      <c r="A831" s="47"/>
      <c r="B831" s="47"/>
      <c r="C831" s="47"/>
      <c r="D831" s="47"/>
      <c r="E831" s="47"/>
      <c r="F831" s="47"/>
      <c r="G831" s="47"/>
      <c r="H831" s="84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47"/>
      <c r="U831" s="47"/>
      <c r="V831" s="47"/>
      <c r="W831" s="47"/>
      <c r="X831" s="47"/>
      <c r="Y831" s="47"/>
      <c r="Z831" s="47"/>
    </row>
    <row r="832" spans="1:26" ht="12.75" customHeight="1">
      <c r="A832" s="47"/>
      <c r="B832" s="47"/>
      <c r="C832" s="47"/>
      <c r="D832" s="47"/>
      <c r="E832" s="47"/>
      <c r="F832" s="47"/>
      <c r="G832" s="47"/>
      <c r="H832" s="84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47"/>
      <c r="U832" s="47"/>
      <c r="V832" s="47"/>
      <c r="W832" s="47"/>
      <c r="X832" s="47"/>
      <c r="Y832" s="47"/>
      <c r="Z832" s="47"/>
    </row>
    <row r="833" spans="1:26" ht="12.75" customHeight="1">
      <c r="A833" s="47"/>
      <c r="B833" s="47"/>
      <c r="C833" s="47"/>
      <c r="D833" s="47"/>
      <c r="E833" s="47"/>
      <c r="F833" s="47"/>
      <c r="G833" s="47"/>
      <c r="H833" s="84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47"/>
      <c r="U833" s="47"/>
      <c r="V833" s="47"/>
      <c r="W833" s="47"/>
      <c r="X833" s="47"/>
      <c r="Y833" s="47"/>
      <c r="Z833" s="47"/>
    </row>
    <row r="834" spans="1:26" ht="12.75" customHeight="1">
      <c r="A834" s="47"/>
      <c r="B834" s="47"/>
      <c r="C834" s="47"/>
      <c r="D834" s="47"/>
      <c r="E834" s="47"/>
      <c r="F834" s="47"/>
      <c r="G834" s="47"/>
      <c r="H834" s="84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47"/>
      <c r="U834" s="47"/>
      <c r="V834" s="47"/>
      <c r="W834" s="47"/>
      <c r="X834" s="47"/>
      <c r="Y834" s="47"/>
      <c r="Z834" s="47"/>
    </row>
    <row r="835" spans="1:26" ht="12.75" customHeight="1">
      <c r="A835" s="47"/>
      <c r="B835" s="47"/>
      <c r="C835" s="47"/>
      <c r="D835" s="47"/>
      <c r="E835" s="47"/>
      <c r="F835" s="47"/>
      <c r="G835" s="47"/>
      <c r="H835" s="84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47"/>
      <c r="U835" s="47"/>
      <c r="V835" s="47"/>
      <c r="W835" s="47"/>
      <c r="X835" s="47"/>
      <c r="Y835" s="47"/>
      <c r="Z835" s="47"/>
    </row>
    <row r="836" spans="1:26" ht="12.75" customHeight="1">
      <c r="A836" s="47"/>
      <c r="B836" s="47"/>
      <c r="C836" s="47"/>
      <c r="D836" s="47"/>
      <c r="E836" s="47"/>
      <c r="F836" s="47"/>
      <c r="G836" s="47"/>
      <c r="H836" s="84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47"/>
      <c r="U836" s="47"/>
      <c r="V836" s="47"/>
      <c r="W836" s="47"/>
      <c r="X836" s="47"/>
      <c r="Y836" s="47"/>
      <c r="Z836" s="47"/>
    </row>
    <row r="837" spans="1:26" ht="12.75" customHeight="1">
      <c r="A837" s="47"/>
      <c r="B837" s="47"/>
      <c r="C837" s="47"/>
      <c r="D837" s="47"/>
      <c r="E837" s="47"/>
      <c r="F837" s="47"/>
      <c r="G837" s="47"/>
      <c r="H837" s="84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47"/>
      <c r="U837" s="47"/>
      <c r="V837" s="47"/>
      <c r="W837" s="47"/>
      <c r="X837" s="47"/>
      <c r="Y837" s="47"/>
      <c r="Z837" s="47"/>
    </row>
    <row r="838" spans="1:26" ht="12.75" customHeight="1">
      <c r="A838" s="47"/>
      <c r="B838" s="47"/>
      <c r="C838" s="47"/>
      <c r="D838" s="47"/>
      <c r="E838" s="47"/>
      <c r="F838" s="47"/>
      <c r="G838" s="47"/>
      <c r="H838" s="84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47"/>
      <c r="U838" s="47"/>
      <c r="V838" s="47"/>
      <c r="W838" s="47"/>
      <c r="X838" s="47"/>
      <c r="Y838" s="47"/>
      <c r="Z838" s="47"/>
    </row>
    <row r="839" spans="1:26" ht="12.75" customHeight="1">
      <c r="A839" s="47"/>
      <c r="B839" s="47"/>
      <c r="C839" s="47"/>
      <c r="D839" s="47"/>
      <c r="E839" s="47"/>
      <c r="F839" s="47"/>
      <c r="G839" s="47"/>
      <c r="H839" s="84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47"/>
      <c r="U839" s="47"/>
      <c r="V839" s="47"/>
      <c r="W839" s="47"/>
      <c r="X839" s="47"/>
      <c r="Y839" s="47"/>
      <c r="Z839" s="47"/>
    </row>
    <row r="840" spans="1:26" ht="12.75" customHeight="1">
      <c r="A840" s="47"/>
      <c r="B840" s="47"/>
      <c r="C840" s="47"/>
      <c r="D840" s="47"/>
      <c r="E840" s="47"/>
      <c r="F840" s="47"/>
      <c r="G840" s="47"/>
      <c r="H840" s="84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47"/>
      <c r="U840" s="47"/>
      <c r="V840" s="47"/>
      <c r="W840" s="47"/>
      <c r="X840" s="47"/>
      <c r="Y840" s="47"/>
      <c r="Z840" s="47"/>
    </row>
    <row r="841" spans="1:26" ht="12.75" customHeight="1">
      <c r="A841" s="47"/>
      <c r="B841" s="47"/>
      <c r="C841" s="47"/>
      <c r="D841" s="47"/>
      <c r="E841" s="47"/>
      <c r="F841" s="47"/>
      <c r="G841" s="47"/>
      <c r="H841" s="84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47"/>
      <c r="U841" s="47"/>
      <c r="V841" s="47"/>
      <c r="W841" s="47"/>
      <c r="X841" s="47"/>
      <c r="Y841" s="47"/>
      <c r="Z841" s="47"/>
    </row>
    <row r="842" spans="1:26" ht="12.75" customHeight="1">
      <c r="A842" s="47"/>
      <c r="B842" s="47"/>
      <c r="C842" s="47"/>
      <c r="D842" s="47"/>
      <c r="E842" s="47"/>
      <c r="F842" s="47"/>
      <c r="G842" s="47"/>
      <c r="H842" s="84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47"/>
      <c r="U842" s="47"/>
      <c r="V842" s="47"/>
      <c r="W842" s="47"/>
      <c r="X842" s="47"/>
      <c r="Y842" s="47"/>
      <c r="Z842" s="47"/>
    </row>
    <row r="843" spans="1:26" ht="12.75" customHeight="1">
      <c r="A843" s="47"/>
      <c r="B843" s="47"/>
      <c r="C843" s="47"/>
      <c r="D843" s="47"/>
      <c r="E843" s="47"/>
      <c r="F843" s="47"/>
      <c r="G843" s="47"/>
      <c r="H843" s="84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47"/>
      <c r="U843" s="47"/>
      <c r="V843" s="47"/>
      <c r="W843" s="47"/>
      <c r="X843" s="47"/>
      <c r="Y843" s="47"/>
      <c r="Z843" s="47"/>
    </row>
    <row r="844" spans="1:26" ht="12.75" customHeight="1">
      <c r="A844" s="47"/>
      <c r="B844" s="47"/>
      <c r="C844" s="47"/>
      <c r="D844" s="47"/>
      <c r="E844" s="47"/>
      <c r="F844" s="47"/>
      <c r="G844" s="47"/>
      <c r="H844" s="84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47"/>
      <c r="U844" s="47"/>
      <c r="V844" s="47"/>
      <c r="W844" s="47"/>
      <c r="X844" s="47"/>
      <c r="Y844" s="47"/>
      <c r="Z844" s="47"/>
    </row>
    <row r="845" spans="1:26" ht="12.75" customHeight="1">
      <c r="A845" s="47"/>
      <c r="B845" s="47"/>
      <c r="C845" s="47"/>
      <c r="D845" s="47"/>
      <c r="E845" s="47"/>
      <c r="F845" s="47"/>
      <c r="G845" s="47"/>
      <c r="H845" s="84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47"/>
      <c r="U845" s="47"/>
      <c r="V845" s="47"/>
      <c r="W845" s="47"/>
      <c r="X845" s="47"/>
      <c r="Y845" s="47"/>
      <c r="Z845" s="47"/>
    </row>
    <row r="846" spans="1:26" ht="12.75" customHeight="1">
      <c r="A846" s="47"/>
      <c r="B846" s="47"/>
      <c r="C846" s="47"/>
      <c r="D846" s="47"/>
      <c r="E846" s="47"/>
      <c r="F846" s="47"/>
      <c r="G846" s="47"/>
      <c r="H846" s="84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47"/>
      <c r="U846" s="47"/>
      <c r="V846" s="47"/>
      <c r="W846" s="47"/>
      <c r="X846" s="47"/>
      <c r="Y846" s="47"/>
      <c r="Z846" s="47"/>
    </row>
    <row r="847" spans="1:26" ht="12.75" customHeight="1">
      <c r="A847" s="47"/>
      <c r="B847" s="47"/>
      <c r="C847" s="47"/>
      <c r="D847" s="47"/>
      <c r="E847" s="47"/>
      <c r="F847" s="47"/>
      <c r="G847" s="47"/>
      <c r="H847" s="84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47"/>
      <c r="U847" s="47"/>
      <c r="V847" s="47"/>
      <c r="W847" s="47"/>
      <c r="X847" s="47"/>
      <c r="Y847" s="47"/>
      <c r="Z847" s="47"/>
    </row>
    <row r="848" spans="1:26" ht="12.75" customHeight="1">
      <c r="A848" s="47"/>
      <c r="B848" s="47"/>
      <c r="C848" s="47"/>
      <c r="D848" s="47"/>
      <c r="E848" s="47"/>
      <c r="F848" s="47"/>
      <c r="G848" s="47"/>
      <c r="H848" s="84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47"/>
      <c r="U848" s="47"/>
      <c r="V848" s="47"/>
      <c r="W848" s="47"/>
      <c r="X848" s="47"/>
      <c r="Y848" s="47"/>
      <c r="Z848" s="47"/>
    </row>
    <row r="849" spans="1:26" ht="12.75" customHeight="1">
      <c r="A849" s="47"/>
      <c r="B849" s="47"/>
      <c r="C849" s="47"/>
      <c r="D849" s="47"/>
      <c r="E849" s="47"/>
      <c r="F849" s="47"/>
      <c r="G849" s="47"/>
      <c r="H849" s="84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47"/>
      <c r="U849" s="47"/>
      <c r="V849" s="47"/>
      <c r="W849" s="47"/>
      <c r="X849" s="47"/>
      <c r="Y849" s="47"/>
      <c r="Z849" s="47"/>
    </row>
    <row r="850" spans="1:26" ht="12.75" customHeight="1">
      <c r="A850" s="47"/>
      <c r="B850" s="47"/>
      <c r="C850" s="47"/>
      <c r="D850" s="47"/>
      <c r="E850" s="47"/>
      <c r="F850" s="47"/>
      <c r="G850" s="47"/>
      <c r="H850" s="84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47"/>
      <c r="U850" s="47"/>
      <c r="V850" s="47"/>
      <c r="W850" s="47"/>
      <c r="X850" s="47"/>
      <c r="Y850" s="47"/>
      <c r="Z850" s="47"/>
    </row>
    <row r="851" spans="1:26" ht="12.75" customHeight="1">
      <c r="A851" s="47"/>
      <c r="B851" s="47"/>
      <c r="C851" s="47"/>
      <c r="D851" s="47"/>
      <c r="E851" s="47"/>
      <c r="F851" s="47"/>
      <c r="G851" s="47"/>
      <c r="H851" s="84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47"/>
      <c r="U851" s="47"/>
      <c r="V851" s="47"/>
      <c r="W851" s="47"/>
      <c r="X851" s="47"/>
      <c r="Y851" s="47"/>
      <c r="Z851" s="47"/>
    </row>
    <row r="852" spans="1:26" ht="12.75" customHeight="1">
      <c r="A852" s="47"/>
      <c r="B852" s="47"/>
      <c r="C852" s="47"/>
      <c r="D852" s="47"/>
      <c r="E852" s="47"/>
      <c r="F852" s="47"/>
      <c r="G852" s="47"/>
      <c r="H852" s="84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47"/>
      <c r="U852" s="47"/>
      <c r="V852" s="47"/>
      <c r="W852" s="47"/>
      <c r="X852" s="47"/>
      <c r="Y852" s="47"/>
      <c r="Z852" s="47"/>
    </row>
    <row r="853" spans="1:26" ht="12.75" customHeight="1">
      <c r="A853" s="47"/>
      <c r="B853" s="47"/>
      <c r="C853" s="47"/>
      <c r="D853" s="47"/>
      <c r="E853" s="47"/>
      <c r="F853" s="47"/>
      <c r="G853" s="47"/>
      <c r="H853" s="84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47"/>
      <c r="U853" s="47"/>
      <c r="V853" s="47"/>
      <c r="W853" s="47"/>
      <c r="X853" s="47"/>
      <c r="Y853" s="47"/>
      <c r="Z853" s="47"/>
    </row>
    <row r="854" spans="1:26" ht="12.75" customHeight="1">
      <c r="A854" s="47"/>
      <c r="B854" s="47"/>
      <c r="C854" s="47"/>
      <c r="D854" s="47"/>
      <c r="E854" s="47"/>
      <c r="F854" s="47"/>
      <c r="G854" s="47"/>
      <c r="H854" s="84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47"/>
      <c r="U854" s="47"/>
      <c r="V854" s="47"/>
      <c r="W854" s="47"/>
      <c r="X854" s="47"/>
      <c r="Y854" s="47"/>
      <c r="Z854" s="47"/>
    </row>
    <row r="855" spans="1:26" ht="12.75" customHeight="1">
      <c r="A855" s="47"/>
      <c r="B855" s="47"/>
      <c r="C855" s="47"/>
      <c r="D855" s="47"/>
      <c r="E855" s="47"/>
      <c r="F855" s="47"/>
      <c r="G855" s="47"/>
      <c r="H855" s="84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47"/>
      <c r="U855" s="47"/>
      <c r="V855" s="47"/>
      <c r="W855" s="47"/>
      <c r="X855" s="47"/>
      <c r="Y855" s="47"/>
      <c r="Z855" s="47"/>
    </row>
    <row r="856" spans="1:26" ht="12.75" customHeight="1">
      <c r="A856" s="47"/>
      <c r="B856" s="47"/>
      <c r="C856" s="47"/>
      <c r="D856" s="47"/>
      <c r="E856" s="47"/>
      <c r="F856" s="47"/>
      <c r="G856" s="47"/>
      <c r="H856" s="84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47"/>
      <c r="U856" s="47"/>
      <c r="V856" s="47"/>
      <c r="W856" s="47"/>
      <c r="X856" s="47"/>
      <c r="Y856" s="47"/>
      <c r="Z856" s="47"/>
    </row>
    <row r="857" spans="1:26" ht="12.75" customHeight="1">
      <c r="A857" s="47"/>
      <c r="B857" s="47"/>
      <c r="C857" s="47"/>
      <c r="D857" s="47"/>
      <c r="E857" s="47"/>
      <c r="F857" s="47"/>
      <c r="G857" s="47"/>
      <c r="H857" s="84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47"/>
      <c r="U857" s="47"/>
      <c r="V857" s="47"/>
      <c r="W857" s="47"/>
      <c r="X857" s="47"/>
      <c r="Y857" s="47"/>
      <c r="Z857" s="47"/>
    </row>
    <row r="858" spans="1:26" ht="12.75" customHeight="1">
      <c r="A858" s="47"/>
      <c r="B858" s="47"/>
      <c r="C858" s="47"/>
      <c r="D858" s="47"/>
      <c r="E858" s="47"/>
      <c r="F858" s="47"/>
      <c r="G858" s="47"/>
      <c r="H858" s="84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47"/>
      <c r="U858" s="47"/>
      <c r="V858" s="47"/>
      <c r="W858" s="47"/>
      <c r="X858" s="47"/>
      <c r="Y858" s="47"/>
      <c r="Z858" s="47"/>
    </row>
    <row r="859" spans="1:26" ht="12.75" customHeight="1">
      <c r="A859" s="47"/>
      <c r="B859" s="47"/>
      <c r="C859" s="47"/>
      <c r="D859" s="47"/>
      <c r="E859" s="47"/>
      <c r="F859" s="47"/>
      <c r="G859" s="47"/>
      <c r="H859" s="84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47"/>
      <c r="U859" s="47"/>
      <c r="V859" s="47"/>
      <c r="W859" s="47"/>
      <c r="X859" s="47"/>
      <c r="Y859" s="47"/>
      <c r="Z859" s="47"/>
    </row>
    <row r="860" spans="1:26" ht="12.75" customHeight="1">
      <c r="A860" s="47"/>
      <c r="B860" s="47"/>
      <c r="C860" s="47"/>
      <c r="D860" s="47"/>
      <c r="E860" s="47"/>
      <c r="F860" s="47"/>
      <c r="G860" s="47"/>
      <c r="H860" s="84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47"/>
      <c r="U860" s="47"/>
      <c r="V860" s="47"/>
      <c r="W860" s="47"/>
      <c r="X860" s="47"/>
      <c r="Y860" s="47"/>
      <c r="Z860" s="47"/>
    </row>
    <row r="861" spans="1:26" ht="12.75" customHeight="1">
      <c r="A861" s="47"/>
      <c r="B861" s="47"/>
      <c r="C861" s="47"/>
      <c r="D861" s="47"/>
      <c r="E861" s="47"/>
      <c r="F861" s="47"/>
      <c r="G861" s="47"/>
      <c r="H861" s="84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47"/>
      <c r="U861" s="47"/>
      <c r="V861" s="47"/>
      <c r="W861" s="47"/>
      <c r="X861" s="47"/>
      <c r="Y861" s="47"/>
      <c r="Z861" s="47"/>
    </row>
    <row r="862" spans="1:26" ht="12.75" customHeight="1">
      <c r="A862" s="47"/>
      <c r="B862" s="47"/>
      <c r="C862" s="47"/>
      <c r="D862" s="47"/>
      <c r="E862" s="47"/>
      <c r="F862" s="47"/>
      <c r="G862" s="47"/>
      <c r="H862" s="84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47"/>
      <c r="U862" s="47"/>
      <c r="V862" s="47"/>
      <c r="W862" s="47"/>
      <c r="X862" s="47"/>
      <c r="Y862" s="47"/>
      <c r="Z862" s="47"/>
    </row>
    <row r="863" spans="1:26" ht="12.75" customHeight="1">
      <c r="A863" s="47"/>
      <c r="B863" s="47"/>
      <c r="C863" s="47"/>
      <c r="D863" s="47"/>
      <c r="E863" s="47"/>
      <c r="F863" s="47"/>
      <c r="G863" s="47"/>
      <c r="H863" s="84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47"/>
      <c r="U863" s="47"/>
      <c r="V863" s="47"/>
      <c r="W863" s="47"/>
      <c r="X863" s="47"/>
      <c r="Y863" s="47"/>
      <c r="Z863" s="47"/>
    </row>
    <row r="864" spans="1:26" ht="12.75" customHeight="1">
      <c r="A864" s="47"/>
      <c r="B864" s="47"/>
      <c r="C864" s="47"/>
      <c r="D864" s="47"/>
      <c r="E864" s="47"/>
      <c r="F864" s="47"/>
      <c r="G864" s="47"/>
      <c r="H864" s="84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47"/>
      <c r="U864" s="47"/>
      <c r="V864" s="47"/>
      <c r="W864" s="47"/>
      <c r="X864" s="47"/>
      <c r="Y864" s="47"/>
      <c r="Z864" s="47"/>
    </row>
    <row r="865" spans="1:26" ht="12.75" customHeight="1">
      <c r="A865" s="47"/>
      <c r="B865" s="47"/>
      <c r="C865" s="47"/>
      <c r="D865" s="47"/>
      <c r="E865" s="47"/>
      <c r="F865" s="47"/>
      <c r="G865" s="47"/>
      <c r="H865" s="84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47"/>
      <c r="U865" s="47"/>
      <c r="V865" s="47"/>
      <c r="W865" s="47"/>
      <c r="X865" s="47"/>
      <c r="Y865" s="47"/>
      <c r="Z865" s="47"/>
    </row>
    <row r="866" spans="1:26" ht="12.75" customHeight="1">
      <c r="A866" s="47"/>
      <c r="B866" s="47"/>
      <c r="C866" s="47"/>
      <c r="D866" s="47"/>
      <c r="E866" s="47"/>
      <c r="F866" s="47"/>
      <c r="G866" s="47"/>
      <c r="H866" s="84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47"/>
      <c r="U866" s="47"/>
      <c r="V866" s="47"/>
      <c r="W866" s="47"/>
      <c r="X866" s="47"/>
      <c r="Y866" s="47"/>
      <c r="Z866" s="47"/>
    </row>
    <row r="867" spans="1:26" ht="12.75" customHeight="1">
      <c r="A867" s="47"/>
      <c r="B867" s="47"/>
      <c r="C867" s="47"/>
      <c r="D867" s="47"/>
      <c r="E867" s="47"/>
      <c r="F867" s="47"/>
      <c r="G867" s="47"/>
      <c r="H867" s="84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47"/>
      <c r="U867" s="47"/>
      <c r="V867" s="47"/>
      <c r="W867" s="47"/>
      <c r="X867" s="47"/>
      <c r="Y867" s="47"/>
      <c r="Z867" s="47"/>
    </row>
    <row r="868" spans="1:26" ht="12.75" customHeight="1">
      <c r="A868" s="47"/>
      <c r="B868" s="47"/>
      <c r="C868" s="47"/>
      <c r="D868" s="47"/>
      <c r="E868" s="47"/>
      <c r="F868" s="47"/>
      <c r="G868" s="47"/>
      <c r="H868" s="84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47"/>
      <c r="U868" s="47"/>
      <c r="V868" s="47"/>
      <c r="W868" s="47"/>
      <c r="X868" s="47"/>
      <c r="Y868" s="47"/>
      <c r="Z868" s="47"/>
    </row>
    <row r="869" spans="1:26" ht="12.75" customHeight="1">
      <c r="A869" s="47"/>
      <c r="B869" s="47"/>
      <c r="C869" s="47"/>
      <c r="D869" s="47"/>
      <c r="E869" s="47"/>
      <c r="F869" s="47"/>
      <c r="G869" s="47"/>
      <c r="H869" s="84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47"/>
      <c r="U869" s="47"/>
      <c r="V869" s="47"/>
      <c r="W869" s="47"/>
      <c r="X869" s="47"/>
      <c r="Y869" s="47"/>
      <c r="Z869" s="47"/>
    </row>
    <row r="870" spans="1:26" ht="12.75" customHeight="1">
      <c r="A870" s="47"/>
      <c r="B870" s="47"/>
      <c r="C870" s="47"/>
      <c r="D870" s="47"/>
      <c r="E870" s="47"/>
      <c r="F870" s="47"/>
      <c r="G870" s="47"/>
      <c r="H870" s="84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47"/>
      <c r="U870" s="47"/>
      <c r="V870" s="47"/>
      <c r="W870" s="47"/>
      <c r="X870" s="47"/>
      <c r="Y870" s="47"/>
      <c r="Z870" s="47"/>
    </row>
    <row r="871" spans="1:26" ht="12.75" customHeight="1">
      <c r="A871" s="47"/>
      <c r="B871" s="47"/>
      <c r="C871" s="47"/>
      <c r="D871" s="47"/>
      <c r="E871" s="47"/>
      <c r="F871" s="47"/>
      <c r="G871" s="47"/>
      <c r="H871" s="84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47"/>
      <c r="U871" s="47"/>
      <c r="V871" s="47"/>
      <c r="W871" s="47"/>
      <c r="X871" s="47"/>
      <c r="Y871" s="47"/>
      <c r="Z871" s="47"/>
    </row>
    <row r="872" spans="1:26" ht="12.75" customHeight="1">
      <c r="A872" s="47"/>
      <c r="B872" s="47"/>
      <c r="C872" s="47"/>
      <c r="D872" s="47"/>
      <c r="E872" s="47"/>
      <c r="F872" s="47"/>
      <c r="G872" s="47"/>
      <c r="H872" s="84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47"/>
      <c r="U872" s="47"/>
      <c r="V872" s="47"/>
      <c r="W872" s="47"/>
      <c r="X872" s="47"/>
      <c r="Y872" s="47"/>
      <c r="Z872" s="47"/>
    </row>
    <row r="873" spans="1:26" ht="12.75" customHeight="1">
      <c r="A873" s="47"/>
      <c r="B873" s="47"/>
      <c r="C873" s="47"/>
      <c r="D873" s="47"/>
      <c r="E873" s="47"/>
      <c r="F873" s="47"/>
      <c r="G873" s="47"/>
      <c r="H873" s="84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47"/>
      <c r="U873" s="47"/>
      <c r="V873" s="47"/>
      <c r="W873" s="47"/>
      <c r="X873" s="47"/>
      <c r="Y873" s="47"/>
      <c r="Z873" s="47"/>
    </row>
    <row r="874" spans="1:26" ht="12.75" customHeight="1">
      <c r="A874" s="47"/>
      <c r="B874" s="47"/>
      <c r="C874" s="47"/>
      <c r="D874" s="47"/>
      <c r="E874" s="47"/>
      <c r="F874" s="47"/>
      <c r="G874" s="47"/>
      <c r="H874" s="84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47"/>
      <c r="U874" s="47"/>
      <c r="V874" s="47"/>
      <c r="W874" s="47"/>
      <c r="X874" s="47"/>
      <c r="Y874" s="47"/>
      <c r="Z874" s="47"/>
    </row>
    <row r="875" spans="1:26" ht="12.75" customHeight="1">
      <c r="A875" s="47"/>
      <c r="B875" s="47"/>
      <c r="C875" s="47"/>
      <c r="D875" s="47"/>
      <c r="E875" s="47"/>
      <c r="F875" s="47"/>
      <c r="G875" s="47"/>
      <c r="H875" s="84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47"/>
      <c r="U875" s="47"/>
      <c r="V875" s="47"/>
      <c r="W875" s="47"/>
      <c r="X875" s="47"/>
      <c r="Y875" s="47"/>
      <c r="Z875" s="47"/>
    </row>
    <row r="876" spans="1:26" ht="12.75" customHeight="1">
      <c r="A876" s="47"/>
      <c r="B876" s="47"/>
      <c r="C876" s="47"/>
      <c r="D876" s="47"/>
      <c r="E876" s="47"/>
      <c r="F876" s="47"/>
      <c r="G876" s="47"/>
      <c r="H876" s="84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47"/>
      <c r="U876" s="47"/>
      <c r="V876" s="47"/>
      <c r="W876" s="47"/>
      <c r="X876" s="47"/>
      <c r="Y876" s="47"/>
      <c r="Z876" s="47"/>
    </row>
    <row r="877" spans="1:26" ht="12.75" customHeight="1">
      <c r="A877" s="47"/>
      <c r="B877" s="47"/>
      <c r="C877" s="47"/>
      <c r="D877" s="47"/>
      <c r="E877" s="47"/>
      <c r="F877" s="47"/>
      <c r="G877" s="47"/>
      <c r="H877" s="84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47"/>
      <c r="U877" s="47"/>
      <c r="V877" s="47"/>
      <c r="W877" s="47"/>
      <c r="X877" s="47"/>
      <c r="Y877" s="47"/>
      <c r="Z877" s="47"/>
    </row>
    <row r="878" spans="1:26" ht="12.75" customHeight="1">
      <c r="A878" s="47"/>
      <c r="B878" s="47"/>
      <c r="C878" s="47"/>
      <c r="D878" s="47"/>
      <c r="E878" s="47"/>
      <c r="F878" s="47"/>
      <c r="G878" s="47"/>
      <c r="H878" s="84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47"/>
      <c r="U878" s="47"/>
      <c r="V878" s="47"/>
      <c r="W878" s="47"/>
      <c r="X878" s="47"/>
      <c r="Y878" s="47"/>
      <c r="Z878" s="47"/>
    </row>
    <row r="879" spans="1:26" ht="12.75" customHeight="1">
      <c r="A879" s="47"/>
      <c r="B879" s="47"/>
      <c r="C879" s="47"/>
      <c r="D879" s="47"/>
      <c r="E879" s="47"/>
      <c r="F879" s="47"/>
      <c r="G879" s="47"/>
      <c r="H879" s="84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47"/>
      <c r="U879" s="47"/>
      <c r="V879" s="47"/>
      <c r="W879" s="47"/>
      <c r="X879" s="47"/>
      <c r="Y879" s="47"/>
      <c r="Z879" s="47"/>
    </row>
    <row r="880" spans="1:26" ht="12.75" customHeight="1">
      <c r="A880" s="47"/>
      <c r="B880" s="47"/>
      <c r="C880" s="47"/>
      <c r="D880" s="47"/>
      <c r="E880" s="47"/>
      <c r="F880" s="47"/>
      <c r="G880" s="47"/>
      <c r="H880" s="84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47"/>
      <c r="U880" s="47"/>
      <c r="V880" s="47"/>
      <c r="W880" s="47"/>
      <c r="X880" s="47"/>
      <c r="Y880" s="47"/>
      <c r="Z880" s="47"/>
    </row>
    <row r="881" spans="1:26" ht="12.75" customHeight="1">
      <c r="A881" s="47"/>
      <c r="B881" s="47"/>
      <c r="C881" s="47"/>
      <c r="D881" s="47"/>
      <c r="E881" s="47"/>
      <c r="F881" s="47"/>
      <c r="G881" s="47"/>
      <c r="H881" s="84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47"/>
      <c r="U881" s="47"/>
      <c r="V881" s="47"/>
      <c r="W881" s="47"/>
      <c r="X881" s="47"/>
      <c r="Y881" s="47"/>
      <c r="Z881" s="47"/>
    </row>
    <row r="882" spans="1:26" ht="12.75" customHeight="1">
      <c r="A882" s="47"/>
      <c r="B882" s="47"/>
      <c r="C882" s="47"/>
      <c r="D882" s="47"/>
      <c r="E882" s="47"/>
      <c r="F882" s="47"/>
      <c r="G882" s="47"/>
      <c r="H882" s="84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47"/>
      <c r="U882" s="47"/>
      <c r="V882" s="47"/>
      <c r="W882" s="47"/>
      <c r="X882" s="47"/>
      <c r="Y882" s="47"/>
      <c r="Z882" s="47"/>
    </row>
    <row r="883" spans="1:26" ht="12.75" customHeight="1">
      <c r="A883" s="47"/>
      <c r="B883" s="47"/>
      <c r="C883" s="47"/>
      <c r="D883" s="47"/>
      <c r="E883" s="47"/>
      <c r="F883" s="47"/>
      <c r="G883" s="47"/>
      <c r="H883" s="84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47"/>
      <c r="U883" s="47"/>
      <c r="V883" s="47"/>
      <c r="W883" s="47"/>
      <c r="X883" s="47"/>
      <c r="Y883" s="47"/>
      <c r="Z883" s="47"/>
    </row>
    <row r="884" spans="1:26" ht="12.75" customHeight="1">
      <c r="A884" s="47"/>
      <c r="B884" s="47"/>
      <c r="C884" s="47"/>
      <c r="D884" s="47"/>
      <c r="E884" s="47"/>
      <c r="F884" s="47"/>
      <c r="G884" s="47"/>
      <c r="H884" s="84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47"/>
      <c r="U884" s="47"/>
      <c r="V884" s="47"/>
      <c r="W884" s="47"/>
      <c r="X884" s="47"/>
      <c r="Y884" s="47"/>
      <c r="Z884" s="47"/>
    </row>
    <row r="885" spans="1:26" ht="12.75" customHeight="1">
      <c r="A885" s="47"/>
      <c r="B885" s="47"/>
      <c r="C885" s="47"/>
      <c r="D885" s="47"/>
      <c r="E885" s="47"/>
      <c r="F885" s="47"/>
      <c r="G885" s="47"/>
      <c r="H885" s="84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47"/>
      <c r="U885" s="47"/>
      <c r="V885" s="47"/>
      <c r="W885" s="47"/>
      <c r="X885" s="47"/>
      <c r="Y885" s="47"/>
      <c r="Z885" s="47"/>
    </row>
    <row r="886" spans="1:26" ht="12.75" customHeight="1">
      <c r="A886" s="47"/>
      <c r="B886" s="47"/>
      <c r="C886" s="47"/>
      <c r="D886" s="47"/>
      <c r="E886" s="47"/>
      <c r="F886" s="47"/>
      <c r="G886" s="47"/>
      <c r="H886" s="84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47"/>
      <c r="U886" s="47"/>
      <c r="V886" s="47"/>
      <c r="W886" s="47"/>
      <c r="X886" s="47"/>
      <c r="Y886" s="47"/>
      <c r="Z886" s="47"/>
    </row>
    <row r="887" spans="1:26" ht="12.75" customHeight="1">
      <c r="A887" s="47"/>
      <c r="B887" s="47"/>
      <c r="C887" s="47"/>
      <c r="D887" s="47"/>
      <c r="E887" s="47"/>
      <c r="F887" s="47"/>
      <c r="G887" s="47"/>
      <c r="H887" s="84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47"/>
      <c r="U887" s="47"/>
      <c r="V887" s="47"/>
      <c r="W887" s="47"/>
      <c r="X887" s="47"/>
      <c r="Y887" s="47"/>
      <c r="Z887" s="47"/>
    </row>
    <row r="888" spans="1:26" ht="12.75" customHeight="1">
      <c r="A888" s="47"/>
      <c r="B888" s="47"/>
      <c r="C888" s="47"/>
      <c r="D888" s="47"/>
      <c r="E888" s="47"/>
      <c r="F888" s="47"/>
      <c r="G888" s="47"/>
      <c r="H888" s="84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47"/>
      <c r="U888" s="47"/>
      <c r="V888" s="47"/>
      <c r="W888" s="47"/>
      <c r="X888" s="47"/>
      <c r="Y888" s="47"/>
      <c r="Z888" s="47"/>
    </row>
    <row r="889" spans="1:26" ht="12.75" customHeight="1">
      <c r="A889" s="47"/>
      <c r="B889" s="47"/>
      <c r="C889" s="47"/>
      <c r="D889" s="47"/>
      <c r="E889" s="47"/>
      <c r="F889" s="47"/>
      <c r="G889" s="47"/>
      <c r="H889" s="84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47"/>
      <c r="U889" s="47"/>
      <c r="V889" s="47"/>
      <c r="W889" s="47"/>
      <c r="X889" s="47"/>
      <c r="Y889" s="47"/>
      <c r="Z889" s="47"/>
    </row>
    <row r="890" spans="1:26" ht="12.75" customHeight="1">
      <c r="A890" s="47"/>
      <c r="B890" s="47"/>
      <c r="C890" s="47"/>
      <c r="D890" s="47"/>
      <c r="E890" s="47"/>
      <c r="F890" s="47"/>
      <c r="G890" s="47"/>
      <c r="H890" s="84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47"/>
      <c r="U890" s="47"/>
      <c r="V890" s="47"/>
      <c r="W890" s="47"/>
      <c r="X890" s="47"/>
      <c r="Y890" s="47"/>
      <c r="Z890" s="47"/>
    </row>
    <row r="891" spans="1:26" ht="12.75" customHeight="1">
      <c r="A891" s="47"/>
      <c r="B891" s="47"/>
      <c r="C891" s="47"/>
      <c r="D891" s="47"/>
      <c r="E891" s="47"/>
      <c r="F891" s="47"/>
      <c r="G891" s="47"/>
      <c r="H891" s="84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47"/>
      <c r="U891" s="47"/>
      <c r="V891" s="47"/>
      <c r="W891" s="47"/>
      <c r="X891" s="47"/>
      <c r="Y891" s="47"/>
      <c r="Z891" s="47"/>
    </row>
    <row r="892" spans="1:26" ht="12.75" customHeight="1">
      <c r="A892" s="47"/>
      <c r="B892" s="47"/>
      <c r="C892" s="47"/>
      <c r="D892" s="47"/>
      <c r="E892" s="47"/>
      <c r="F892" s="47"/>
      <c r="G892" s="47"/>
      <c r="H892" s="84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47"/>
      <c r="U892" s="47"/>
      <c r="V892" s="47"/>
      <c r="W892" s="47"/>
      <c r="X892" s="47"/>
      <c r="Y892" s="47"/>
      <c r="Z892" s="47"/>
    </row>
    <row r="893" spans="1:26" ht="12.75" customHeight="1">
      <c r="A893" s="47"/>
      <c r="B893" s="47"/>
      <c r="C893" s="47"/>
      <c r="D893" s="47"/>
      <c r="E893" s="47"/>
      <c r="F893" s="47"/>
      <c r="G893" s="47"/>
      <c r="H893" s="84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47"/>
      <c r="U893" s="47"/>
      <c r="V893" s="47"/>
      <c r="W893" s="47"/>
      <c r="X893" s="47"/>
      <c r="Y893" s="47"/>
      <c r="Z893" s="47"/>
    </row>
    <row r="894" spans="1:26" ht="12.75" customHeight="1">
      <c r="A894" s="47"/>
      <c r="B894" s="47"/>
      <c r="C894" s="47"/>
      <c r="D894" s="47"/>
      <c r="E894" s="47"/>
      <c r="F894" s="47"/>
      <c r="G894" s="47"/>
      <c r="H894" s="84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47"/>
      <c r="U894" s="47"/>
      <c r="V894" s="47"/>
      <c r="W894" s="47"/>
      <c r="X894" s="47"/>
      <c r="Y894" s="47"/>
      <c r="Z894" s="47"/>
    </row>
    <row r="895" spans="1:26" ht="12.75" customHeight="1">
      <c r="A895" s="47"/>
      <c r="B895" s="47"/>
      <c r="C895" s="47"/>
      <c r="D895" s="47"/>
      <c r="E895" s="47"/>
      <c r="F895" s="47"/>
      <c r="G895" s="47"/>
      <c r="H895" s="84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47"/>
      <c r="U895" s="47"/>
      <c r="V895" s="47"/>
      <c r="W895" s="47"/>
      <c r="X895" s="47"/>
      <c r="Y895" s="47"/>
      <c r="Z895" s="47"/>
    </row>
    <row r="896" spans="1:26" ht="12.75" customHeight="1">
      <c r="A896" s="47"/>
      <c r="B896" s="47"/>
      <c r="C896" s="47"/>
      <c r="D896" s="47"/>
      <c r="E896" s="47"/>
      <c r="F896" s="47"/>
      <c r="G896" s="47"/>
      <c r="H896" s="84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47"/>
      <c r="U896" s="47"/>
      <c r="V896" s="47"/>
      <c r="W896" s="47"/>
      <c r="X896" s="47"/>
      <c r="Y896" s="47"/>
      <c r="Z896" s="47"/>
    </row>
    <row r="897" spans="1:26" ht="12.75" customHeight="1">
      <c r="A897" s="47"/>
      <c r="B897" s="47"/>
      <c r="C897" s="47"/>
      <c r="D897" s="47"/>
      <c r="E897" s="47"/>
      <c r="F897" s="47"/>
      <c r="G897" s="47"/>
      <c r="H897" s="84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47"/>
      <c r="U897" s="47"/>
      <c r="V897" s="47"/>
      <c r="W897" s="47"/>
      <c r="X897" s="47"/>
      <c r="Y897" s="47"/>
      <c r="Z897" s="47"/>
    </row>
    <row r="898" spans="1:26" ht="12.75" customHeight="1">
      <c r="A898" s="47"/>
      <c r="B898" s="47"/>
      <c r="C898" s="47"/>
      <c r="D898" s="47"/>
      <c r="E898" s="47"/>
      <c r="F898" s="47"/>
      <c r="G898" s="47"/>
      <c r="H898" s="84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47"/>
      <c r="U898" s="47"/>
      <c r="V898" s="47"/>
      <c r="W898" s="47"/>
      <c r="X898" s="47"/>
      <c r="Y898" s="47"/>
      <c r="Z898" s="47"/>
    </row>
    <row r="899" spans="1:26" ht="12.75" customHeight="1">
      <c r="A899" s="47"/>
      <c r="B899" s="47"/>
      <c r="C899" s="47"/>
      <c r="D899" s="47"/>
      <c r="E899" s="47"/>
      <c r="F899" s="47"/>
      <c r="G899" s="47"/>
      <c r="H899" s="84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47"/>
      <c r="U899" s="47"/>
      <c r="V899" s="47"/>
      <c r="W899" s="47"/>
      <c r="X899" s="47"/>
      <c r="Y899" s="47"/>
      <c r="Z899" s="47"/>
    </row>
    <row r="900" spans="1:26" ht="12.75" customHeight="1">
      <c r="A900" s="47"/>
      <c r="B900" s="47"/>
      <c r="C900" s="47"/>
      <c r="D900" s="47"/>
      <c r="E900" s="47"/>
      <c r="F900" s="47"/>
      <c r="G900" s="47"/>
      <c r="H900" s="84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47"/>
      <c r="U900" s="47"/>
      <c r="V900" s="47"/>
      <c r="W900" s="47"/>
      <c r="X900" s="47"/>
      <c r="Y900" s="47"/>
      <c r="Z900" s="47"/>
    </row>
    <row r="901" spans="1:26" ht="12.75" customHeight="1">
      <c r="A901" s="47"/>
      <c r="B901" s="47"/>
      <c r="C901" s="47"/>
      <c r="D901" s="47"/>
      <c r="E901" s="47"/>
      <c r="F901" s="47"/>
      <c r="G901" s="47"/>
      <c r="H901" s="84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47"/>
      <c r="U901" s="47"/>
      <c r="V901" s="47"/>
      <c r="W901" s="47"/>
      <c r="X901" s="47"/>
      <c r="Y901" s="47"/>
      <c r="Z901" s="47"/>
    </row>
    <row r="902" spans="1:26" ht="12.75" customHeight="1">
      <c r="A902" s="47"/>
      <c r="B902" s="47"/>
      <c r="C902" s="47"/>
      <c r="D902" s="47"/>
      <c r="E902" s="47"/>
      <c r="F902" s="47"/>
      <c r="G902" s="47"/>
      <c r="H902" s="84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47"/>
      <c r="U902" s="47"/>
      <c r="V902" s="47"/>
      <c r="W902" s="47"/>
      <c r="X902" s="47"/>
      <c r="Y902" s="47"/>
      <c r="Z902" s="47"/>
    </row>
    <row r="903" spans="1:26" ht="12.75" customHeight="1">
      <c r="A903" s="47"/>
      <c r="B903" s="47"/>
      <c r="C903" s="47"/>
      <c r="D903" s="47"/>
      <c r="E903" s="47"/>
      <c r="F903" s="47"/>
      <c r="G903" s="47"/>
      <c r="H903" s="84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47"/>
      <c r="U903" s="47"/>
      <c r="V903" s="47"/>
      <c r="W903" s="47"/>
      <c r="X903" s="47"/>
      <c r="Y903" s="47"/>
      <c r="Z903" s="47"/>
    </row>
    <row r="904" spans="1:26" ht="12.75" customHeight="1">
      <c r="A904" s="47"/>
      <c r="B904" s="47"/>
      <c r="C904" s="47"/>
      <c r="D904" s="47"/>
      <c r="E904" s="47"/>
      <c r="F904" s="47"/>
      <c r="G904" s="47"/>
      <c r="H904" s="84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47"/>
      <c r="U904" s="47"/>
      <c r="V904" s="47"/>
      <c r="W904" s="47"/>
      <c r="X904" s="47"/>
      <c r="Y904" s="47"/>
      <c r="Z904" s="47"/>
    </row>
    <row r="905" spans="1:26" ht="12.75" customHeight="1">
      <c r="A905" s="47"/>
      <c r="B905" s="47"/>
      <c r="C905" s="47"/>
      <c r="D905" s="47"/>
      <c r="E905" s="47"/>
      <c r="F905" s="47"/>
      <c r="G905" s="47"/>
      <c r="H905" s="84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47"/>
      <c r="U905" s="47"/>
      <c r="V905" s="47"/>
      <c r="W905" s="47"/>
      <c r="X905" s="47"/>
      <c r="Y905" s="47"/>
      <c r="Z905" s="47"/>
    </row>
    <row r="906" spans="1:26" ht="12.75" customHeight="1">
      <c r="A906" s="47"/>
      <c r="B906" s="47"/>
      <c r="C906" s="47"/>
      <c r="D906" s="47"/>
      <c r="E906" s="47"/>
      <c r="F906" s="47"/>
      <c r="G906" s="47"/>
      <c r="H906" s="84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47"/>
      <c r="U906" s="47"/>
      <c r="V906" s="47"/>
      <c r="W906" s="47"/>
      <c r="X906" s="47"/>
      <c r="Y906" s="47"/>
      <c r="Z906" s="47"/>
    </row>
    <row r="907" spans="1:26" ht="12.75" customHeight="1">
      <c r="A907" s="47"/>
      <c r="B907" s="47"/>
      <c r="C907" s="47"/>
      <c r="D907" s="47"/>
      <c r="E907" s="47"/>
      <c r="F907" s="47"/>
      <c r="G907" s="47"/>
      <c r="H907" s="84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47"/>
      <c r="U907" s="47"/>
      <c r="V907" s="47"/>
      <c r="W907" s="47"/>
      <c r="X907" s="47"/>
      <c r="Y907" s="47"/>
      <c r="Z907" s="47"/>
    </row>
    <row r="908" spans="1:26" ht="12.75" customHeight="1">
      <c r="A908" s="47"/>
      <c r="B908" s="47"/>
      <c r="C908" s="47"/>
      <c r="D908" s="47"/>
      <c r="E908" s="47"/>
      <c r="F908" s="47"/>
      <c r="G908" s="47"/>
      <c r="H908" s="84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47"/>
      <c r="U908" s="47"/>
      <c r="V908" s="47"/>
      <c r="W908" s="47"/>
      <c r="X908" s="47"/>
      <c r="Y908" s="47"/>
      <c r="Z908" s="47"/>
    </row>
    <row r="909" spans="1:26" ht="12.75" customHeight="1">
      <c r="A909" s="47"/>
      <c r="B909" s="47"/>
      <c r="C909" s="47"/>
      <c r="D909" s="47"/>
      <c r="E909" s="47"/>
      <c r="F909" s="47"/>
      <c r="G909" s="47"/>
      <c r="H909" s="84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47"/>
      <c r="U909" s="47"/>
      <c r="V909" s="47"/>
      <c r="W909" s="47"/>
      <c r="X909" s="47"/>
      <c r="Y909" s="47"/>
      <c r="Z909" s="47"/>
    </row>
    <row r="910" spans="1:26" ht="12.75" customHeight="1">
      <c r="A910" s="47"/>
      <c r="B910" s="47"/>
      <c r="C910" s="47"/>
      <c r="D910" s="47"/>
      <c r="E910" s="47"/>
      <c r="F910" s="47"/>
      <c r="G910" s="47"/>
      <c r="H910" s="84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47"/>
      <c r="U910" s="47"/>
      <c r="V910" s="47"/>
      <c r="W910" s="47"/>
      <c r="X910" s="47"/>
      <c r="Y910" s="47"/>
      <c r="Z910" s="47"/>
    </row>
    <row r="911" spans="1:26" ht="12.75" customHeight="1">
      <c r="A911" s="47"/>
      <c r="B911" s="47"/>
      <c r="C911" s="47"/>
      <c r="D911" s="47"/>
      <c r="E911" s="47"/>
      <c r="F911" s="47"/>
      <c r="G911" s="47"/>
      <c r="H911" s="84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47"/>
      <c r="U911" s="47"/>
      <c r="V911" s="47"/>
      <c r="W911" s="47"/>
      <c r="X911" s="47"/>
      <c r="Y911" s="47"/>
      <c r="Z911" s="47"/>
    </row>
    <row r="912" spans="1:26" ht="12.75" customHeight="1">
      <c r="A912" s="47"/>
      <c r="B912" s="47"/>
      <c r="C912" s="47"/>
      <c r="D912" s="47"/>
      <c r="E912" s="47"/>
      <c r="F912" s="47"/>
      <c r="G912" s="47"/>
      <c r="H912" s="84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47"/>
      <c r="U912" s="47"/>
      <c r="V912" s="47"/>
      <c r="W912" s="47"/>
      <c r="X912" s="47"/>
      <c r="Y912" s="47"/>
      <c r="Z912" s="47"/>
    </row>
    <row r="913" spans="1:26" ht="12.75" customHeight="1">
      <c r="A913" s="47"/>
      <c r="B913" s="47"/>
      <c r="C913" s="47"/>
      <c r="D913" s="47"/>
      <c r="E913" s="47"/>
      <c r="F913" s="47"/>
      <c r="G913" s="47"/>
      <c r="H913" s="84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47"/>
      <c r="U913" s="47"/>
      <c r="V913" s="47"/>
      <c r="W913" s="47"/>
      <c r="X913" s="47"/>
      <c r="Y913" s="47"/>
      <c r="Z913" s="47"/>
    </row>
    <row r="914" spans="1:26" ht="12.75" customHeight="1">
      <c r="A914" s="47"/>
      <c r="B914" s="47"/>
      <c r="C914" s="47"/>
      <c r="D914" s="47"/>
      <c r="E914" s="47"/>
      <c r="F914" s="47"/>
      <c r="G914" s="47"/>
      <c r="H914" s="84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47"/>
      <c r="U914" s="47"/>
      <c r="V914" s="47"/>
      <c r="W914" s="47"/>
      <c r="X914" s="47"/>
      <c r="Y914" s="47"/>
      <c r="Z914" s="47"/>
    </row>
    <row r="915" spans="1:26" ht="12.75" customHeight="1">
      <c r="A915" s="47"/>
      <c r="B915" s="47"/>
      <c r="C915" s="47"/>
      <c r="D915" s="47"/>
      <c r="E915" s="47"/>
      <c r="F915" s="47"/>
      <c r="G915" s="47"/>
      <c r="H915" s="84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47"/>
      <c r="U915" s="47"/>
      <c r="V915" s="47"/>
      <c r="W915" s="47"/>
      <c r="X915" s="47"/>
      <c r="Y915" s="47"/>
      <c r="Z915" s="47"/>
    </row>
    <row r="916" spans="1:26" ht="12.75" customHeight="1">
      <c r="A916" s="47"/>
      <c r="B916" s="47"/>
      <c r="C916" s="47"/>
      <c r="D916" s="47"/>
      <c r="E916" s="47"/>
      <c r="F916" s="47"/>
      <c r="G916" s="47"/>
      <c r="H916" s="84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47"/>
      <c r="U916" s="47"/>
      <c r="V916" s="47"/>
      <c r="W916" s="47"/>
      <c r="X916" s="47"/>
      <c r="Y916" s="47"/>
      <c r="Z916" s="47"/>
    </row>
    <row r="917" spans="1:26" ht="12.75" customHeight="1">
      <c r="A917" s="47"/>
      <c r="B917" s="47"/>
      <c r="C917" s="47"/>
      <c r="D917" s="47"/>
      <c r="E917" s="47"/>
      <c r="F917" s="47"/>
      <c r="G917" s="47"/>
      <c r="H917" s="84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47"/>
      <c r="U917" s="47"/>
      <c r="V917" s="47"/>
      <c r="W917" s="47"/>
      <c r="X917" s="47"/>
      <c r="Y917" s="47"/>
      <c r="Z917" s="47"/>
    </row>
    <row r="918" spans="1:26" ht="12.75" customHeight="1">
      <c r="A918" s="47"/>
      <c r="B918" s="47"/>
      <c r="C918" s="47"/>
      <c r="D918" s="47"/>
      <c r="E918" s="47"/>
      <c r="F918" s="47"/>
      <c r="G918" s="47"/>
      <c r="H918" s="84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47"/>
      <c r="U918" s="47"/>
      <c r="V918" s="47"/>
      <c r="W918" s="47"/>
      <c r="X918" s="47"/>
      <c r="Y918" s="47"/>
      <c r="Z918" s="47"/>
    </row>
    <row r="919" spans="1:26" ht="12.75" customHeight="1">
      <c r="A919" s="47"/>
      <c r="B919" s="47"/>
      <c r="C919" s="47"/>
      <c r="D919" s="47"/>
      <c r="E919" s="47"/>
      <c r="F919" s="47"/>
      <c r="G919" s="47"/>
      <c r="H919" s="84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47"/>
      <c r="U919" s="47"/>
      <c r="V919" s="47"/>
      <c r="W919" s="47"/>
      <c r="X919" s="47"/>
      <c r="Y919" s="47"/>
      <c r="Z919" s="47"/>
    </row>
    <row r="920" spans="1:26" ht="12.75" customHeight="1">
      <c r="A920" s="47"/>
      <c r="B920" s="47"/>
      <c r="C920" s="47"/>
      <c r="D920" s="47"/>
      <c r="E920" s="47"/>
      <c r="F920" s="47"/>
      <c r="G920" s="47"/>
      <c r="H920" s="84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47"/>
      <c r="U920" s="47"/>
      <c r="V920" s="47"/>
      <c r="W920" s="47"/>
      <c r="X920" s="47"/>
      <c r="Y920" s="47"/>
      <c r="Z920" s="47"/>
    </row>
    <row r="921" spans="1:26" ht="12.75" customHeight="1">
      <c r="A921" s="47"/>
      <c r="B921" s="47"/>
      <c r="C921" s="47"/>
      <c r="D921" s="47"/>
      <c r="E921" s="47"/>
      <c r="F921" s="47"/>
      <c r="G921" s="47"/>
      <c r="H921" s="84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47"/>
      <c r="U921" s="47"/>
      <c r="V921" s="47"/>
      <c r="W921" s="47"/>
      <c r="X921" s="47"/>
      <c r="Y921" s="47"/>
      <c r="Z921" s="47"/>
    </row>
    <row r="922" spans="1:26" ht="12.75" customHeight="1">
      <c r="A922" s="47"/>
      <c r="B922" s="47"/>
      <c r="C922" s="47"/>
      <c r="D922" s="47"/>
      <c r="E922" s="47"/>
      <c r="F922" s="47"/>
      <c r="G922" s="47"/>
      <c r="H922" s="84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47"/>
      <c r="U922" s="47"/>
      <c r="V922" s="47"/>
      <c r="W922" s="47"/>
      <c r="X922" s="47"/>
      <c r="Y922" s="47"/>
      <c r="Z922" s="47"/>
    </row>
    <row r="923" spans="1:26" ht="12.75" customHeight="1">
      <c r="A923" s="47"/>
      <c r="B923" s="47"/>
      <c r="C923" s="47"/>
      <c r="D923" s="47"/>
      <c r="E923" s="47"/>
      <c r="F923" s="47"/>
      <c r="G923" s="47"/>
      <c r="H923" s="84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47"/>
      <c r="U923" s="47"/>
      <c r="V923" s="47"/>
      <c r="W923" s="47"/>
      <c r="X923" s="47"/>
      <c r="Y923" s="47"/>
      <c r="Z923" s="47"/>
    </row>
    <row r="924" spans="1:26" ht="12.75" customHeight="1">
      <c r="A924" s="47"/>
      <c r="B924" s="47"/>
      <c r="C924" s="47"/>
      <c r="D924" s="47"/>
      <c r="E924" s="47"/>
      <c r="F924" s="47"/>
      <c r="G924" s="47"/>
      <c r="H924" s="84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47"/>
      <c r="U924" s="47"/>
      <c r="V924" s="47"/>
      <c r="W924" s="47"/>
      <c r="X924" s="47"/>
      <c r="Y924" s="47"/>
      <c r="Z924" s="47"/>
    </row>
    <row r="925" spans="1:26" ht="12.75" customHeight="1">
      <c r="A925" s="47"/>
      <c r="B925" s="47"/>
      <c r="C925" s="47"/>
      <c r="D925" s="47"/>
      <c r="E925" s="47"/>
      <c r="F925" s="47"/>
      <c r="G925" s="47"/>
      <c r="H925" s="84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47"/>
      <c r="U925" s="47"/>
      <c r="V925" s="47"/>
      <c r="W925" s="47"/>
      <c r="X925" s="47"/>
      <c r="Y925" s="47"/>
      <c r="Z925" s="47"/>
    </row>
    <row r="926" spans="1:26" ht="12.75" customHeight="1">
      <c r="A926" s="47"/>
      <c r="B926" s="47"/>
      <c r="C926" s="47"/>
      <c r="D926" s="47"/>
      <c r="E926" s="47"/>
      <c r="F926" s="47"/>
      <c r="G926" s="47"/>
      <c r="H926" s="84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47"/>
      <c r="U926" s="47"/>
      <c r="V926" s="47"/>
      <c r="W926" s="47"/>
      <c r="X926" s="47"/>
      <c r="Y926" s="47"/>
      <c r="Z926" s="47"/>
    </row>
    <row r="927" spans="1:26" ht="12.75" customHeight="1">
      <c r="A927" s="47"/>
      <c r="B927" s="47"/>
      <c r="C927" s="47"/>
      <c r="D927" s="47"/>
      <c r="E927" s="47"/>
      <c r="F927" s="47"/>
      <c r="G927" s="47"/>
      <c r="H927" s="84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47"/>
      <c r="U927" s="47"/>
      <c r="V927" s="47"/>
      <c r="W927" s="47"/>
      <c r="X927" s="47"/>
      <c r="Y927" s="47"/>
      <c r="Z927" s="47"/>
    </row>
    <row r="928" spans="1:26" ht="12.75" customHeight="1">
      <c r="A928" s="47"/>
      <c r="B928" s="47"/>
      <c r="C928" s="47"/>
      <c r="D928" s="47"/>
      <c r="E928" s="47"/>
      <c r="F928" s="47"/>
      <c r="G928" s="47"/>
      <c r="H928" s="84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47"/>
      <c r="U928" s="47"/>
      <c r="V928" s="47"/>
      <c r="W928" s="47"/>
      <c r="X928" s="47"/>
      <c r="Y928" s="47"/>
      <c r="Z928" s="47"/>
    </row>
    <row r="929" spans="1:26" ht="12.75" customHeight="1">
      <c r="A929" s="47"/>
      <c r="B929" s="47"/>
      <c r="C929" s="47"/>
      <c r="D929" s="47"/>
      <c r="E929" s="47"/>
      <c r="F929" s="47"/>
      <c r="G929" s="47"/>
      <c r="H929" s="84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47"/>
      <c r="U929" s="47"/>
      <c r="V929" s="47"/>
      <c r="W929" s="47"/>
      <c r="X929" s="47"/>
      <c r="Y929" s="47"/>
      <c r="Z929" s="47"/>
    </row>
    <row r="930" spans="1:26" ht="12.75" customHeight="1">
      <c r="A930" s="47"/>
      <c r="B930" s="47"/>
      <c r="C930" s="47"/>
      <c r="D930" s="47"/>
      <c r="E930" s="47"/>
      <c r="F930" s="47"/>
      <c r="G930" s="47"/>
      <c r="H930" s="84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47"/>
      <c r="U930" s="47"/>
      <c r="V930" s="47"/>
      <c r="W930" s="47"/>
      <c r="X930" s="47"/>
      <c r="Y930" s="47"/>
      <c r="Z930" s="47"/>
    </row>
    <row r="931" spans="1:26" ht="12.75" customHeight="1">
      <c r="A931" s="47"/>
      <c r="B931" s="47"/>
      <c r="C931" s="47"/>
      <c r="D931" s="47"/>
      <c r="E931" s="47"/>
      <c r="F931" s="47"/>
      <c r="G931" s="47"/>
      <c r="H931" s="84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47"/>
      <c r="B932" s="47"/>
      <c r="C932" s="47"/>
      <c r="D932" s="47"/>
      <c r="E932" s="47"/>
      <c r="F932" s="47"/>
      <c r="G932" s="47"/>
      <c r="H932" s="84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47"/>
      <c r="B933" s="47"/>
      <c r="C933" s="47"/>
      <c r="D933" s="47"/>
      <c r="E933" s="47"/>
      <c r="F933" s="47"/>
      <c r="G933" s="47"/>
      <c r="H933" s="84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47"/>
      <c r="B934" s="47"/>
      <c r="C934" s="47"/>
      <c r="D934" s="47"/>
      <c r="E934" s="47"/>
      <c r="F934" s="47"/>
      <c r="G934" s="47"/>
      <c r="H934" s="84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47"/>
      <c r="B935" s="47"/>
      <c r="C935" s="47"/>
      <c r="D935" s="47"/>
      <c r="E935" s="47"/>
      <c r="F935" s="47"/>
      <c r="G935" s="47"/>
      <c r="H935" s="84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47"/>
      <c r="B936" s="47"/>
      <c r="C936" s="47"/>
      <c r="D936" s="47"/>
      <c r="E936" s="47"/>
      <c r="F936" s="47"/>
      <c r="G936" s="47"/>
      <c r="H936" s="84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47"/>
      <c r="B937" s="47"/>
      <c r="C937" s="47"/>
      <c r="D937" s="47"/>
      <c r="E937" s="47"/>
      <c r="F937" s="47"/>
      <c r="G937" s="47"/>
      <c r="H937" s="84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47"/>
      <c r="B938" s="47"/>
      <c r="C938" s="47"/>
      <c r="D938" s="47"/>
      <c r="E938" s="47"/>
      <c r="F938" s="47"/>
      <c r="G938" s="47"/>
      <c r="H938" s="84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47"/>
      <c r="B939" s="47"/>
      <c r="C939" s="47"/>
      <c r="D939" s="47"/>
      <c r="E939" s="47"/>
      <c r="F939" s="47"/>
      <c r="G939" s="47"/>
      <c r="H939" s="84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47"/>
      <c r="B940" s="47"/>
      <c r="C940" s="47"/>
      <c r="D940" s="47"/>
      <c r="E940" s="47"/>
      <c r="F940" s="47"/>
      <c r="G940" s="47"/>
      <c r="H940" s="84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47"/>
      <c r="B941" s="47"/>
      <c r="C941" s="47"/>
      <c r="D941" s="47"/>
      <c r="E941" s="47"/>
      <c r="F941" s="47"/>
      <c r="G941" s="47"/>
      <c r="H941" s="84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47"/>
      <c r="B942" s="47"/>
      <c r="C942" s="47"/>
      <c r="D942" s="47"/>
      <c r="E942" s="47"/>
      <c r="F942" s="47"/>
      <c r="G942" s="47"/>
      <c r="H942" s="84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47"/>
      <c r="B943" s="47"/>
      <c r="C943" s="47"/>
      <c r="D943" s="47"/>
      <c r="E943" s="47"/>
      <c r="F943" s="47"/>
      <c r="G943" s="47"/>
      <c r="H943" s="84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47"/>
      <c r="B944" s="47"/>
      <c r="C944" s="47"/>
      <c r="D944" s="47"/>
      <c r="E944" s="47"/>
      <c r="F944" s="47"/>
      <c r="G944" s="47"/>
      <c r="H944" s="84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47"/>
      <c r="U944" s="47"/>
      <c r="V944" s="47"/>
      <c r="W944" s="47"/>
      <c r="X944" s="47"/>
      <c r="Y944" s="47"/>
      <c r="Z944" s="47"/>
    </row>
    <row r="945" spans="1:26" ht="12.75" customHeight="1">
      <c r="A945" s="47"/>
      <c r="B945" s="47"/>
      <c r="C945" s="47"/>
      <c r="D945" s="47"/>
      <c r="E945" s="47"/>
      <c r="F945" s="47"/>
      <c r="G945" s="47"/>
      <c r="H945" s="84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47"/>
      <c r="U945" s="47"/>
      <c r="V945" s="47"/>
      <c r="W945" s="47"/>
      <c r="X945" s="47"/>
      <c r="Y945" s="47"/>
      <c r="Z945" s="47"/>
    </row>
    <row r="946" spans="1:26" ht="12.75" customHeight="1">
      <c r="A946" s="47"/>
      <c r="B946" s="47"/>
      <c r="C946" s="47"/>
      <c r="D946" s="47"/>
      <c r="E946" s="47"/>
      <c r="F946" s="47"/>
      <c r="G946" s="47"/>
      <c r="H946" s="84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47"/>
      <c r="U946" s="47"/>
      <c r="V946" s="47"/>
      <c r="W946" s="47"/>
      <c r="X946" s="47"/>
      <c r="Y946" s="47"/>
      <c r="Z946" s="47"/>
    </row>
    <row r="947" spans="1:26" ht="12.75" customHeight="1">
      <c r="A947" s="47"/>
      <c r="B947" s="47"/>
      <c r="C947" s="47"/>
      <c r="D947" s="47"/>
      <c r="E947" s="47"/>
      <c r="F947" s="47"/>
      <c r="G947" s="47"/>
      <c r="H947" s="84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47"/>
      <c r="U947" s="47"/>
      <c r="V947" s="47"/>
      <c r="W947" s="47"/>
      <c r="X947" s="47"/>
      <c r="Y947" s="47"/>
      <c r="Z947" s="47"/>
    </row>
    <row r="948" spans="1:26" ht="12.75" customHeight="1">
      <c r="A948" s="47"/>
      <c r="B948" s="47"/>
      <c r="C948" s="47"/>
      <c r="D948" s="47"/>
      <c r="E948" s="47"/>
      <c r="F948" s="47"/>
      <c r="G948" s="47"/>
      <c r="H948" s="84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47"/>
      <c r="U948" s="47"/>
      <c r="V948" s="47"/>
      <c r="W948" s="47"/>
      <c r="X948" s="47"/>
      <c r="Y948" s="47"/>
      <c r="Z948" s="47"/>
    </row>
    <row r="949" spans="1:26" ht="12.75" customHeight="1">
      <c r="A949" s="47"/>
      <c r="B949" s="47"/>
      <c r="C949" s="47"/>
      <c r="D949" s="47"/>
      <c r="E949" s="47"/>
      <c r="F949" s="47"/>
      <c r="G949" s="47"/>
      <c r="H949" s="84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47"/>
      <c r="U949" s="47"/>
      <c r="V949" s="47"/>
      <c r="W949" s="47"/>
      <c r="X949" s="47"/>
      <c r="Y949" s="47"/>
      <c r="Z949" s="47"/>
    </row>
    <row r="950" spans="1:26" ht="12.75" customHeight="1">
      <c r="A950" s="47"/>
      <c r="B950" s="47"/>
      <c r="C950" s="47"/>
      <c r="D950" s="47"/>
      <c r="E950" s="47"/>
      <c r="F950" s="47"/>
      <c r="G950" s="47"/>
      <c r="H950" s="84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47"/>
      <c r="U950" s="47"/>
      <c r="V950" s="47"/>
      <c r="W950" s="47"/>
      <c r="X950" s="47"/>
      <c r="Y950" s="47"/>
      <c r="Z950" s="47"/>
    </row>
    <row r="951" spans="1:26" ht="12.75" customHeight="1">
      <c r="A951" s="47"/>
      <c r="B951" s="47"/>
      <c r="C951" s="47"/>
      <c r="D951" s="47"/>
      <c r="E951" s="47"/>
      <c r="F951" s="47"/>
      <c r="G951" s="47"/>
      <c r="H951" s="84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47"/>
      <c r="U951" s="47"/>
      <c r="V951" s="47"/>
      <c r="W951" s="47"/>
      <c r="X951" s="47"/>
      <c r="Y951" s="47"/>
      <c r="Z951" s="47"/>
    </row>
    <row r="952" spans="1:26" ht="12.75" customHeight="1">
      <c r="A952" s="47"/>
      <c r="B952" s="47"/>
      <c r="C952" s="47"/>
      <c r="D952" s="47"/>
      <c r="E952" s="47"/>
      <c r="F952" s="47"/>
      <c r="G952" s="47"/>
      <c r="H952" s="84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47"/>
      <c r="U952" s="47"/>
      <c r="V952" s="47"/>
      <c r="W952" s="47"/>
      <c r="X952" s="47"/>
      <c r="Y952" s="47"/>
      <c r="Z952" s="47"/>
    </row>
    <row r="953" spans="1:26" ht="12.75" customHeight="1">
      <c r="A953" s="47"/>
      <c r="B953" s="47"/>
      <c r="C953" s="47"/>
      <c r="D953" s="47"/>
      <c r="E953" s="47"/>
      <c r="F953" s="47"/>
      <c r="G953" s="47"/>
      <c r="H953" s="84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47"/>
      <c r="U953" s="47"/>
      <c r="V953" s="47"/>
      <c r="W953" s="47"/>
      <c r="X953" s="47"/>
      <c r="Y953" s="47"/>
      <c r="Z953" s="47"/>
    </row>
    <row r="954" spans="1:26" ht="12.75" customHeight="1">
      <c r="A954" s="47"/>
      <c r="B954" s="47"/>
      <c r="C954" s="47"/>
      <c r="D954" s="47"/>
      <c r="E954" s="47"/>
      <c r="F954" s="47"/>
      <c r="G954" s="47"/>
      <c r="H954" s="84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47"/>
      <c r="U954" s="47"/>
      <c r="V954" s="47"/>
      <c r="W954" s="47"/>
      <c r="X954" s="47"/>
      <c r="Y954" s="47"/>
      <c r="Z954" s="47"/>
    </row>
    <row r="955" spans="1:26" ht="12.75" customHeight="1">
      <c r="A955" s="47"/>
      <c r="B955" s="47"/>
      <c r="C955" s="47"/>
      <c r="D955" s="47"/>
      <c r="E955" s="47"/>
      <c r="F955" s="47"/>
      <c r="G955" s="47"/>
      <c r="H955" s="84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47"/>
      <c r="U955" s="47"/>
      <c r="V955" s="47"/>
      <c r="W955" s="47"/>
      <c r="X955" s="47"/>
      <c r="Y955" s="47"/>
      <c r="Z955" s="47"/>
    </row>
    <row r="956" spans="1:26" ht="12.75" customHeight="1">
      <c r="A956" s="47"/>
      <c r="B956" s="47"/>
      <c r="C956" s="47"/>
      <c r="D956" s="47"/>
      <c r="E956" s="47"/>
      <c r="F956" s="47"/>
      <c r="G956" s="47"/>
      <c r="H956" s="84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47"/>
      <c r="U956" s="47"/>
      <c r="V956" s="47"/>
      <c r="W956" s="47"/>
      <c r="X956" s="47"/>
      <c r="Y956" s="47"/>
      <c r="Z956" s="47"/>
    </row>
    <row r="957" spans="1:26" ht="12.75" customHeight="1">
      <c r="A957" s="47"/>
      <c r="B957" s="47"/>
      <c r="C957" s="47"/>
      <c r="D957" s="47"/>
      <c r="E957" s="47"/>
      <c r="F957" s="47"/>
      <c r="G957" s="47"/>
      <c r="H957" s="84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47"/>
      <c r="U957" s="47"/>
      <c r="V957" s="47"/>
      <c r="W957" s="47"/>
      <c r="X957" s="47"/>
      <c r="Y957" s="47"/>
      <c r="Z957" s="47"/>
    </row>
    <row r="958" spans="1:26" ht="12.75" customHeight="1">
      <c r="A958" s="47"/>
      <c r="B958" s="47"/>
      <c r="C958" s="47"/>
      <c r="D958" s="47"/>
      <c r="E958" s="47"/>
      <c r="F958" s="47"/>
      <c r="G958" s="47"/>
      <c r="H958" s="84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47"/>
      <c r="U958" s="47"/>
      <c r="V958" s="47"/>
      <c r="W958" s="47"/>
      <c r="X958" s="47"/>
      <c r="Y958" s="47"/>
      <c r="Z958" s="47"/>
    </row>
    <row r="959" spans="1:26" ht="12.75" customHeight="1">
      <c r="A959" s="47"/>
      <c r="B959" s="47"/>
      <c r="C959" s="47"/>
      <c r="D959" s="47"/>
      <c r="E959" s="47"/>
      <c r="F959" s="47"/>
      <c r="G959" s="47"/>
      <c r="H959" s="84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47"/>
      <c r="U959" s="47"/>
      <c r="V959" s="47"/>
      <c r="W959" s="47"/>
      <c r="X959" s="47"/>
      <c r="Y959" s="47"/>
      <c r="Z959" s="47"/>
    </row>
    <row r="960" spans="1:26" ht="12.75" customHeight="1">
      <c r="A960" s="47"/>
      <c r="B960" s="47"/>
      <c r="C960" s="47"/>
      <c r="D960" s="47"/>
      <c r="E960" s="47"/>
      <c r="F960" s="47"/>
      <c r="G960" s="47"/>
      <c r="H960" s="84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47"/>
      <c r="U960" s="47"/>
      <c r="V960" s="47"/>
      <c r="W960" s="47"/>
      <c r="X960" s="47"/>
      <c r="Y960" s="47"/>
      <c r="Z960" s="47"/>
    </row>
    <row r="961" spans="1:26" ht="12.75" customHeight="1">
      <c r="A961" s="47"/>
      <c r="B961" s="47"/>
      <c r="C961" s="47"/>
      <c r="D961" s="47"/>
      <c r="E961" s="47"/>
      <c r="F961" s="47"/>
      <c r="G961" s="47"/>
      <c r="H961" s="84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47"/>
      <c r="U961" s="47"/>
      <c r="V961" s="47"/>
      <c r="W961" s="47"/>
      <c r="X961" s="47"/>
      <c r="Y961" s="47"/>
      <c r="Z961" s="47"/>
    </row>
    <row r="962" spans="1:26" ht="12.75" customHeight="1">
      <c r="A962" s="47"/>
      <c r="B962" s="47"/>
      <c r="C962" s="47"/>
      <c r="D962" s="47"/>
      <c r="E962" s="47"/>
      <c r="F962" s="47"/>
      <c r="G962" s="47"/>
      <c r="H962" s="84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47"/>
      <c r="U962" s="47"/>
      <c r="V962" s="47"/>
      <c r="W962" s="47"/>
      <c r="X962" s="47"/>
      <c r="Y962" s="47"/>
      <c r="Z962" s="47"/>
    </row>
    <row r="963" spans="1:26" ht="12.75" customHeight="1">
      <c r="A963" s="47"/>
      <c r="B963" s="47"/>
      <c r="C963" s="47"/>
      <c r="D963" s="47"/>
      <c r="E963" s="47"/>
      <c r="F963" s="47"/>
      <c r="G963" s="47"/>
      <c r="H963" s="84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47"/>
      <c r="U963" s="47"/>
      <c r="V963" s="47"/>
      <c r="W963" s="47"/>
      <c r="X963" s="47"/>
      <c r="Y963" s="47"/>
      <c r="Z963" s="47"/>
    </row>
    <row r="964" spans="1:26" ht="12.75" customHeight="1">
      <c r="A964" s="47"/>
      <c r="B964" s="47"/>
      <c r="C964" s="47"/>
      <c r="D964" s="47"/>
      <c r="E964" s="47"/>
      <c r="F964" s="47"/>
      <c r="G964" s="47"/>
      <c r="H964" s="84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47"/>
      <c r="U964" s="47"/>
      <c r="V964" s="47"/>
      <c r="W964" s="47"/>
      <c r="X964" s="47"/>
      <c r="Y964" s="47"/>
      <c r="Z964" s="47"/>
    </row>
    <row r="965" spans="1:26" ht="12.75" customHeight="1">
      <c r="A965" s="47"/>
      <c r="B965" s="47"/>
      <c r="C965" s="47"/>
      <c r="D965" s="47"/>
      <c r="E965" s="47"/>
      <c r="F965" s="47"/>
      <c r="G965" s="47"/>
      <c r="H965" s="84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47"/>
      <c r="U965" s="47"/>
      <c r="V965" s="47"/>
      <c r="W965" s="47"/>
      <c r="X965" s="47"/>
      <c r="Y965" s="47"/>
      <c r="Z965" s="47"/>
    </row>
    <row r="966" spans="1:26" ht="12.75" customHeight="1">
      <c r="A966" s="47"/>
      <c r="B966" s="47"/>
      <c r="C966" s="47"/>
      <c r="D966" s="47"/>
      <c r="E966" s="47"/>
      <c r="F966" s="47"/>
      <c r="G966" s="47"/>
      <c r="H966" s="84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47"/>
      <c r="U966" s="47"/>
      <c r="V966" s="47"/>
      <c r="W966" s="47"/>
      <c r="X966" s="47"/>
      <c r="Y966" s="47"/>
      <c r="Z966" s="47"/>
    </row>
    <row r="967" spans="1:26" ht="12.75" customHeight="1">
      <c r="A967" s="47"/>
      <c r="B967" s="47"/>
      <c r="C967" s="47"/>
      <c r="D967" s="47"/>
      <c r="E967" s="47"/>
      <c r="F967" s="47"/>
      <c r="G967" s="47"/>
      <c r="H967" s="84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47"/>
      <c r="U967" s="47"/>
      <c r="V967" s="47"/>
      <c r="W967" s="47"/>
      <c r="X967" s="47"/>
      <c r="Y967" s="47"/>
      <c r="Z967" s="47"/>
    </row>
    <row r="968" spans="1:26" ht="12.75" customHeight="1">
      <c r="A968" s="47"/>
      <c r="B968" s="47"/>
      <c r="C968" s="47"/>
      <c r="D968" s="47"/>
      <c r="E968" s="47"/>
      <c r="F968" s="47"/>
      <c r="G968" s="47"/>
      <c r="H968" s="84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47"/>
      <c r="U968" s="47"/>
      <c r="V968" s="47"/>
      <c r="W968" s="47"/>
      <c r="X968" s="47"/>
      <c r="Y968" s="47"/>
      <c r="Z968" s="47"/>
    </row>
    <row r="969" spans="1:26" ht="12.75" customHeight="1">
      <c r="A969" s="47"/>
      <c r="B969" s="47"/>
      <c r="C969" s="47"/>
      <c r="D969" s="47"/>
      <c r="E969" s="47"/>
      <c r="F969" s="47"/>
      <c r="G969" s="47"/>
      <c r="H969" s="84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47"/>
      <c r="U969" s="47"/>
      <c r="V969" s="47"/>
      <c r="W969" s="47"/>
      <c r="X969" s="47"/>
      <c r="Y969" s="47"/>
      <c r="Z969" s="47"/>
    </row>
    <row r="970" spans="1:26" ht="12.75" customHeight="1">
      <c r="A970" s="47"/>
      <c r="B970" s="47"/>
      <c r="C970" s="47"/>
      <c r="D970" s="47"/>
      <c r="E970" s="47"/>
      <c r="F970" s="47"/>
      <c r="G970" s="47"/>
      <c r="H970" s="84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47"/>
      <c r="U970" s="47"/>
      <c r="V970" s="47"/>
      <c r="W970" s="47"/>
      <c r="X970" s="47"/>
      <c r="Y970" s="47"/>
      <c r="Z970" s="47"/>
    </row>
    <row r="971" spans="1:26" ht="12.75" customHeight="1">
      <c r="A971" s="47"/>
      <c r="B971" s="47"/>
      <c r="C971" s="47"/>
      <c r="D971" s="47"/>
      <c r="E971" s="47"/>
      <c r="F971" s="47"/>
      <c r="G971" s="47"/>
      <c r="H971" s="84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47"/>
      <c r="U971" s="47"/>
      <c r="V971" s="47"/>
      <c r="W971" s="47"/>
      <c r="X971" s="47"/>
      <c r="Y971" s="47"/>
      <c r="Z971" s="47"/>
    </row>
    <row r="972" spans="1:26" ht="12.75" customHeight="1">
      <c r="A972" s="47"/>
      <c r="B972" s="47"/>
      <c r="C972" s="47"/>
      <c r="D972" s="47"/>
      <c r="E972" s="47"/>
      <c r="F972" s="47"/>
      <c r="G972" s="47"/>
      <c r="H972" s="84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47"/>
      <c r="U972" s="47"/>
      <c r="V972" s="47"/>
      <c r="W972" s="47"/>
      <c r="X972" s="47"/>
      <c r="Y972" s="47"/>
      <c r="Z972" s="47"/>
    </row>
    <row r="973" spans="1:26" ht="12.75" customHeight="1">
      <c r="A973" s="47"/>
      <c r="B973" s="47"/>
      <c r="C973" s="47"/>
      <c r="D973" s="47"/>
      <c r="E973" s="47"/>
      <c r="F973" s="47"/>
      <c r="G973" s="47"/>
      <c r="H973" s="84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47"/>
      <c r="U973" s="47"/>
      <c r="V973" s="47"/>
      <c r="W973" s="47"/>
      <c r="X973" s="47"/>
      <c r="Y973" s="47"/>
      <c r="Z973" s="47"/>
    </row>
    <row r="974" spans="1:26" ht="12.75" customHeight="1">
      <c r="A974" s="47"/>
      <c r="B974" s="47"/>
      <c r="C974" s="47"/>
      <c r="D974" s="47"/>
      <c r="E974" s="47"/>
      <c r="F974" s="47"/>
      <c r="G974" s="47"/>
      <c r="H974" s="84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47"/>
      <c r="U974" s="47"/>
      <c r="V974" s="47"/>
      <c r="W974" s="47"/>
      <c r="X974" s="47"/>
      <c r="Y974" s="47"/>
      <c r="Z974" s="47"/>
    </row>
    <row r="975" spans="1:26" ht="12.75" customHeight="1">
      <c r="A975" s="47"/>
      <c r="B975" s="47"/>
      <c r="C975" s="47"/>
      <c r="D975" s="47"/>
      <c r="E975" s="47"/>
      <c r="F975" s="47"/>
      <c r="G975" s="47"/>
      <c r="H975" s="84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47"/>
      <c r="U975" s="47"/>
      <c r="V975" s="47"/>
      <c r="W975" s="47"/>
      <c r="X975" s="47"/>
      <c r="Y975" s="47"/>
      <c r="Z975" s="47"/>
    </row>
    <row r="976" spans="1:26" ht="12.75" customHeight="1">
      <c r="A976" s="47"/>
      <c r="B976" s="47"/>
      <c r="C976" s="47"/>
      <c r="D976" s="47"/>
      <c r="E976" s="47"/>
      <c r="F976" s="47"/>
      <c r="G976" s="47"/>
      <c r="H976" s="84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47"/>
      <c r="U976" s="47"/>
      <c r="V976" s="47"/>
      <c r="W976" s="47"/>
      <c r="X976" s="47"/>
      <c r="Y976" s="47"/>
      <c r="Z976" s="47"/>
    </row>
    <row r="977" spans="1:26" ht="12.75" customHeight="1">
      <c r="A977" s="47"/>
      <c r="B977" s="47"/>
      <c r="C977" s="47"/>
      <c r="D977" s="47"/>
      <c r="E977" s="47"/>
      <c r="F977" s="47"/>
      <c r="G977" s="47"/>
      <c r="H977" s="84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47"/>
      <c r="U977" s="47"/>
      <c r="V977" s="47"/>
      <c r="W977" s="47"/>
      <c r="X977" s="47"/>
      <c r="Y977" s="47"/>
      <c r="Z977" s="47"/>
    </row>
    <row r="978" spans="1:26" ht="12.75" customHeight="1">
      <c r="A978" s="47"/>
      <c r="B978" s="47"/>
      <c r="C978" s="47"/>
      <c r="D978" s="47"/>
      <c r="E978" s="47"/>
      <c r="F978" s="47"/>
      <c r="G978" s="47"/>
      <c r="H978" s="84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47"/>
      <c r="U978" s="47"/>
      <c r="V978" s="47"/>
      <c r="W978" s="47"/>
      <c r="X978" s="47"/>
      <c r="Y978" s="47"/>
      <c r="Z978" s="47"/>
    </row>
    <row r="979" spans="1:26" ht="12.75" customHeight="1">
      <c r="A979" s="47"/>
      <c r="B979" s="47"/>
      <c r="C979" s="47"/>
      <c r="D979" s="47"/>
      <c r="E979" s="47"/>
      <c r="F979" s="47"/>
      <c r="G979" s="47"/>
      <c r="H979" s="84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47"/>
      <c r="U979" s="47"/>
      <c r="V979" s="47"/>
      <c r="W979" s="47"/>
      <c r="X979" s="47"/>
      <c r="Y979" s="47"/>
      <c r="Z979" s="47"/>
    </row>
    <row r="980" spans="1:26" ht="12.75" customHeight="1">
      <c r="A980" s="47"/>
      <c r="B980" s="47"/>
      <c r="C980" s="47"/>
      <c r="D980" s="47"/>
      <c r="E980" s="47"/>
      <c r="F980" s="47"/>
      <c r="G980" s="47"/>
      <c r="H980" s="84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47"/>
      <c r="U980" s="47"/>
      <c r="V980" s="47"/>
      <c r="W980" s="47"/>
      <c r="X980" s="47"/>
      <c r="Y980" s="47"/>
      <c r="Z980" s="47"/>
    </row>
    <row r="981" spans="1:26" ht="12.75" customHeight="1">
      <c r="A981" s="47"/>
      <c r="B981" s="47"/>
      <c r="C981" s="47"/>
      <c r="D981" s="47"/>
      <c r="E981" s="47"/>
      <c r="F981" s="47"/>
      <c r="G981" s="47"/>
      <c r="H981" s="84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47"/>
      <c r="U981" s="47"/>
      <c r="V981" s="47"/>
      <c r="W981" s="47"/>
      <c r="X981" s="47"/>
      <c r="Y981" s="47"/>
      <c r="Z981" s="47"/>
    </row>
    <row r="982" spans="1:26" ht="12.75" customHeight="1">
      <c r="A982" s="47"/>
      <c r="B982" s="47"/>
      <c r="C982" s="47"/>
      <c r="D982" s="47"/>
      <c r="E982" s="47"/>
      <c r="F982" s="47"/>
      <c r="G982" s="47"/>
      <c r="H982" s="84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47"/>
      <c r="U982" s="47"/>
      <c r="V982" s="47"/>
      <c r="W982" s="47"/>
      <c r="X982" s="47"/>
      <c r="Y982" s="47"/>
      <c r="Z982" s="47"/>
    </row>
    <row r="983" spans="1:26" ht="12.75" customHeight="1">
      <c r="A983" s="47"/>
      <c r="B983" s="47"/>
      <c r="C983" s="47"/>
      <c r="D983" s="47"/>
      <c r="E983" s="47"/>
      <c r="F983" s="47"/>
      <c r="G983" s="47"/>
      <c r="H983" s="84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47"/>
      <c r="U983" s="47"/>
      <c r="V983" s="47"/>
      <c r="W983" s="47"/>
      <c r="X983" s="47"/>
      <c r="Y983" s="47"/>
      <c r="Z983" s="47"/>
    </row>
    <row r="984" spans="1:26" ht="12.75" customHeight="1">
      <c r="A984" s="47"/>
      <c r="B984" s="47"/>
      <c r="C984" s="47"/>
      <c r="D984" s="47"/>
      <c r="E984" s="47"/>
      <c r="F984" s="47"/>
      <c r="G984" s="47"/>
      <c r="H984" s="84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47"/>
      <c r="U984" s="47"/>
      <c r="V984" s="47"/>
      <c r="W984" s="47"/>
      <c r="X984" s="47"/>
      <c r="Y984" s="47"/>
      <c r="Z984" s="47"/>
    </row>
    <row r="985" spans="1:26" ht="12.75" customHeight="1">
      <c r="A985" s="47"/>
      <c r="B985" s="47"/>
      <c r="C985" s="47"/>
      <c r="D985" s="47"/>
      <c r="E985" s="47"/>
      <c r="F985" s="47"/>
      <c r="G985" s="47"/>
      <c r="H985" s="84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47"/>
      <c r="U985" s="47"/>
      <c r="V985" s="47"/>
      <c r="W985" s="47"/>
      <c r="X985" s="47"/>
      <c r="Y985" s="47"/>
      <c r="Z985" s="47"/>
    </row>
    <row r="986" spans="1:26" ht="12.75" customHeight="1">
      <c r="A986" s="47"/>
      <c r="B986" s="47"/>
      <c r="C986" s="47"/>
      <c r="D986" s="47"/>
      <c r="E986" s="47"/>
      <c r="F986" s="47"/>
      <c r="G986" s="47"/>
      <c r="H986" s="84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47"/>
      <c r="U986" s="47"/>
      <c r="V986" s="47"/>
      <c r="W986" s="47"/>
      <c r="X986" s="47"/>
      <c r="Y986" s="47"/>
      <c r="Z986" s="47"/>
    </row>
    <row r="987" spans="1:26" ht="12.75" customHeight="1">
      <c r="A987" s="47"/>
      <c r="B987" s="47"/>
      <c r="C987" s="47"/>
      <c r="D987" s="47"/>
      <c r="E987" s="47"/>
      <c r="F987" s="47"/>
      <c r="G987" s="47"/>
      <c r="H987" s="84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47"/>
      <c r="U987" s="47"/>
      <c r="V987" s="47"/>
      <c r="W987" s="47"/>
      <c r="X987" s="47"/>
      <c r="Y987" s="47"/>
      <c r="Z987" s="47"/>
    </row>
    <row r="988" spans="1:26" ht="12.75" customHeight="1">
      <c r="A988" s="47"/>
      <c r="B988" s="47"/>
      <c r="C988" s="47"/>
      <c r="D988" s="47"/>
      <c r="E988" s="47"/>
      <c r="F988" s="47"/>
      <c r="G988" s="47"/>
      <c r="H988" s="84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47"/>
      <c r="U988" s="47"/>
      <c r="V988" s="47"/>
      <c r="W988" s="47"/>
      <c r="X988" s="47"/>
      <c r="Y988" s="47"/>
      <c r="Z988" s="47"/>
    </row>
    <row r="989" spans="1:26" ht="12.75" customHeight="1">
      <c r="A989" s="47"/>
      <c r="B989" s="47"/>
      <c r="C989" s="47"/>
      <c r="D989" s="47"/>
      <c r="E989" s="47"/>
      <c r="F989" s="47"/>
      <c r="G989" s="47"/>
      <c r="H989" s="84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47"/>
      <c r="U989" s="47"/>
      <c r="V989" s="47"/>
      <c r="W989" s="47"/>
      <c r="X989" s="47"/>
      <c r="Y989" s="47"/>
      <c r="Z989" s="47"/>
    </row>
    <row r="990" spans="1:26" ht="12.75" customHeight="1">
      <c r="A990" s="47"/>
      <c r="B990" s="47"/>
      <c r="C990" s="47"/>
      <c r="D990" s="47"/>
      <c r="E990" s="47"/>
      <c r="F990" s="47"/>
      <c r="G990" s="47"/>
      <c r="H990" s="84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47"/>
      <c r="U990" s="47"/>
      <c r="V990" s="47"/>
      <c r="W990" s="47"/>
      <c r="X990" s="47"/>
      <c r="Y990" s="47"/>
      <c r="Z990" s="47"/>
    </row>
    <row r="991" spans="1:26" ht="12.75" customHeight="1">
      <c r="A991" s="47"/>
      <c r="B991" s="47"/>
      <c r="C991" s="47"/>
      <c r="D991" s="47"/>
      <c r="E991" s="47"/>
      <c r="F991" s="47"/>
      <c r="G991" s="47"/>
      <c r="H991" s="84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47"/>
      <c r="U991" s="47"/>
      <c r="V991" s="47"/>
      <c r="W991" s="47"/>
      <c r="X991" s="47"/>
      <c r="Y991" s="47"/>
      <c r="Z991" s="47"/>
    </row>
    <row r="992" spans="1:26" ht="12.75" customHeight="1">
      <c r="A992" s="47"/>
      <c r="B992" s="47"/>
      <c r="C992" s="47"/>
      <c r="D992" s="47"/>
      <c r="E992" s="47"/>
      <c r="F992" s="47"/>
      <c r="G992" s="47"/>
      <c r="H992" s="84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47"/>
      <c r="U992" s="47"/>
      <c r="V992" s="47"/>
      <c r="W992" s="47"/>
      <c r="X992" s="47"/>
      <c r="Y992" s="47"/>
      <c r="Z992" s="47"/>
    </row>
    <row r="993" spans="1:26" ht="12.75" customHeight="1">
      <c r="A993" s="47"/>
      <c r="B993" s="47"/>
      <c r="C993" s="47"/>
      <c r="D993" s="47"/>
      <c r="E993" s="47"/>
      <c r="F993" s="47"/>
      <c r="G993" s="47"/>
      <c r="H993" s="84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47"/>
      <c r="U993" s="47"/>
      <c r="V993" s="47"/>
      <c r="W993" s="47"/>
      <c r="X993" s="47"/>
      <c r="Y993" s="47"/>
      <c r="Z993" s="47"/>
    </row>
    <row r="994" spans="1:26" ht="12.75" customHeight="1">
      <c r="A994" s="47"/>
      <c r="B994" s="47"/>
      <c r="C994" s="47"/>
      <c r="D994" s="47"/>
      <c r="E994" s="47"/>
      <c r="F994" s="47"/>
      <c r="G994" s="47"/>
      <c r="H994" s="84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47"/>
      <c r="B995" s="47"/>
      <c r="C995" s="47"/>
      <c r="D995" s="47"/>
      <c r="E995" s="47"/>
      <c r="F995" s="47"/>
      <c r="G995" s="47"/>
      <c r="H995" s="84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47"/>
      <c r="B996" s="47"/>
      <c r="C996" s="47"/>
      <c r="D996" s="47"/>
      <c r="E996" s="47"/>
      <c r="F996" s="47"/>
      <c r="G996" s="47"/>
      <c r="H996" s="84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47"/>
      <c r="B997" s="47"/>
      <c r="C997" s="47"/>
      <c r="D997" s="47"/>
      <c r="E997" s="47"/>
      <c r="F997" s="47"/>
      <c r="G997" s="47"/>
      <c r="H997" s="84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47"/>
      <c r="B998" s="47"/>
      <c r="C998" s="47"/>
      <c r="D998" s="47"/>
      <c r="E998" s="47"/>
      <c r="F998" s="47"/>
      <c r="G998" s="47"/>
      <c r="H998" s="84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47"/>
      <c r="B999" s="47"/>
      <c r="C999" s="47"/>
      <c r="D999" s="47"/>
      <c r="E999" s="47"/>
      <c r="F999" s="47"/>
      <c r="G999" s="47"/>
      <c r="H999" s="84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47"/>
      <c r="B1000" s="47"/>
      <c r="C1000" s="47"/>
      <c r="D1000" s="47"/>
      <c r="E1000" s="47"/>
      <c r="F1000" s="47"/>
      <c r="G1000" s="47"/>
      <c r="H1000" s="84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47"/>
      <c r="U1000" s="47"/>
      <c r="V1000" s="47"/>
      <c r="W1000" s="47"/>
      <c r="X1000" s="47"/>
      <c r="Y1000" s="47"/>
      <c r="Z1000" s="47"/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RLOM-NO</vt:lpstr>
      <vt:lpstr>Users</vt:lpstr>
      <vt:lpstr>Settings</vt:lpstr>
      <vt:lpstr>Ark 2</vt:lpstr>
      <vt:lpstr>RLOM-Build</vt:lpstr>
      <vt:lpstr>RLOM-HVAC-Plumb</vt:lpstr>
      <vt:lpstr>RLOM-Electro</vt:lpstr>
      <vt:lpstr>RLOM-OtherInst</vt:lpstr>
      <vt:lpstr>RLOM-Outdoor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 Sunesen</dc:creator>
  <cp:lastModifiedBy>Steen Sunesen</cp:lastModifiedBy>
  <dcterms:created xsi:type="dcterms:W3CDTF">2015-12-01T13:17:26Z</dcterms:created>
  <dcterms:modified xsi:type="dcterms:W3CDTF">2016-01-22T15:09:06Z</dcterms:modified>
</cp:coreProperties>
</file>